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rman\Desktop\План закупок с приказами\План закупок на  2017 год\План редакция 21\"/>
    </mc:Choice>
  </mc:AlternateContent>
  <bookViews>
    <workbookView xWindow="0" yWindow="0" windowWidth="16170" windowHeight="6135" tabRatio="727"/>
  </bookViews>
  <sheets>
    <sheet name="План на 2012 изм (3)" sheetId="6" r:id="rId1"/>
    <sheet name="План на 2012 изм (2)" sheetId="5" state="hidden" r:id="rId2"/>
    <sheet name="План на 2012 изм" sheetId="3" state="hidden" r:id="rId3"/>
    <sheet name="План (2)" sheetId="2" state="hidden" r:id="rId4"/>
    <sheet name="План" sheetId="1" state="hidden" r:id="rId5"/>
    <sheet name="План (3)" sheetId="4" state="hidden" r:id="rId6"/>
  </sheets>
  <externalReferences>
    <externalReference r:id="rId7"/>
    <externalReference r:id="rId8"/>
    <externalReference r:id="rId9"/>
    <externalReference r:id="rId10"/>
  </externalReferences>
  <definedNames>
    <definedName name="_xlnm._FilterDatabase" localSheetId="3" hidden="1">'План (2)'!$25:$73</definedName>
    <definedName name="_xlnm._FilterDatabase" localSheetId="5" hidden="1">'План (3)'!$25:$409</definedName>
    <definedName name="_xlnm._FilterDatabase" localSheetId="2" hidden="1">'План на 2012 изм'!$A$22:$Y$424</definedName>
    <definedName name="_xlnm._FilterDatabase" localSheetId="1" hidden="1">'План на 2012 изм (2)'!$A$19:$Y$146</definedName>
    <definedName name="ЕдиницыИзмерения">'[1]Единицы измерения'!$A$2:$A$280</definedName>
    <definedName name="_xlnm.Print_Titles" localSheetId="2">'План на 2012 изм'!$19:$21</definedName>
    <definedName name="_xlnm.Print_Titles" localSheetId="1">'План на 2012 изм (2)'!$16:$18</definedName>
    <definedName name="_xlnm.Print_Titles" localSheetId="0">'План на 2012 изм (3)'!$16:$17</definedName>
    <definedName name="_xlnm.Print_Area" localSheetId="2">'План на 2012 изм'!$D$10:$X$421</definedName>
    <definedName name="_xlnm.Print_Area" localSheetId="1">'План на 2012 изм (2)'!$D$7:$X$143</definedName>
    <definedName name="_xlnm.Print_Area" localSheetId="0">'План на 2012 изм (3)'!$A$2:$O$63</definedName>
    <definedName name="РазмещениеЗаказа">'[1]Размещение заказа'!$A$3:$A$9</definedName>
    <definedName name="СтатусЛота">[1]Словари!$A$2:$A$6</definedName>
  </definedNames>
  <calcPr calcId="152511"/>
</workbook>
</file>

<file path=xl/calcChain.xml><?xml version="1.0" encoding="utf-8"?>
<calcChain xmlns="http://schemas.openxmlformats.org/spreadsheetml/2006/main">
  <c r="C61" i="6" l="1"/>
  <c r="B61" i="6"/>
  <c r="O60" i="6"/>
  <c r="N60" i="6"/>
  <c r="M60" i="6"/>
  <c r="H60" i="6"/>
  <c r="D60" i="6"/>
  <c r="C60" i="6"/>
  <c r="B60" i="6"/>
  <c r="N59" i="6" l="1"/>
  <c r="N58" i="6"/>
  <c r="B57" i="6"/>
  <c r="C57" i="6"/>
  <c r="D57" i="6"/>
  <c r="H57" i="6"/>
  <c r="M57" i="6"/>
  <c r="O57" i="6"/>
  <c r="B58" i="6"/>
  <c r="C58" i="6"/>
  <c r="D58" i="6"/>
  <c r="H58" i="6"/>
  <c r="M58" i="6"/>
  <c r="O58" i="6"/>
  <c r="B59" i="6"/>
  <c r="C59" i="6"/>
  <c r="D59" i="6"/>
  <c r="F59" i="6"/>
  <c r="G59" i="6"/>
  <c r="H59" i="6"/>
  <c r="M59" i="6"/>
  <c r="O59" i="6"/>
  <c r="E52" i="6" l="1"/>
  <c r="G50" i="6"/>
  <c r="F50" i="6"/>
  <c r="F57" i="6" s="1"/>
  <c r="E50" i="6"/>
  <c r="E57" i="6" s="1"/>
  <c r="E59" i="6" l="1"/>
  <c r="J56" i="6"/>
  <c r="I56" i="6"/>
  <c r="O55" i="6"/>
  <c r="N55" i="6"/>
  <c r="E55" i="6"/>
  <c r="E56" i="6" l="1"/>
  <c r="O54" i="6"/>
  <c r="E54" i="6"/>
  <c r="E61" i="6" s="1"/>
  <c r="E53" i="6"/>
  <c r="E60" i="6" s="1"/>
  <c r="G51" i="6"/>
  <c r="F51" i="6"/>
  <c r="E51" i="6"/>
  <c r="N49" i="6"/>
  <c r="J49" i="6"/>
  <c r="J53" i="6" s="1"/>
  <c r="E49" i="6"/>
  <c r="E58" i="6" l="1"/>
  <c r="G58" i="6"/>
  <c r="G60" i="6"/>
  <c r="F58" i="6"/>
  <c r="F60" i="6"/>
  <c r="E48" i="6"/>
  <c r="N48" i="6"/>
  <c r="J48" i="6"/>
  <c r="N47" i="6"/>
  <c r="J47" i="6"/>
  <c r="J50" i="6" s="1"/>
  <c r="J57" i="6" s="1"/>
  <c r="E47" i="6"/>
  <c r="N46" i="6"/>
  <c r="J46" i="6"/>
  <c r="E46" i="6"/>
  <c r="O45" i="6"/>
  <c r="J45" i="6"/>
  <c r="H45" i="6"/>
  <c r="E45" i="6"/>
  <c r="J52" i="6" l="1"/>
  <c r="J51" i="6"/>
  <c r="J44" i="6"/>
  <c r="J55" i="6" s="1"/>
  <c r="H44" i="6"/>
  <c r="G44" i="6"/>
  <c r="F44" i="6"/>
  <c r="N43" i="6"/>
  <c r="I43" i="6"/>
  <c r="I48" i="6" s="1"/>
  <c r="J58" i="6" l="1"/>
  <c r="J60" i="6"/>
  <c r="J59" i="6"/>
  <c r="J61" i="6"/>
  <c r="I51" i="6"/>
  <c r="I52" i="6"/>
  <c r="N42" i="6"/>
  <c r="N41" i="6"/>
  <c r="I42" i="6"/>
  <c r="I41" i="6"/>
  <c r="I46" i="6" s="1"/>
  <c r="I59" i="6" l="1"/>
  <c r="I61" i="6"/>
  <c r="I58" i="6"/>
  <c r="I60" i="6"/>
  <c r="I44" i="6"/>
  <c r="I55" i="6" s="1"/>
  <c r="I47" i="6"/>
  <c r="I50" i="6" s="1"/>
  <c r="I57" i="6" s="1"/>
  <c r="N40" i="6"/>
  <c r="I40" i="6"/>
  <c r="I45" i="6" l="1"/>
  <c r="I49" i="6"/>
  <c r="I53" i="6" s="1"/>
  <c r="I28" i="6"/>
  <c r="E28" i="6"/>
  <c r="N39" i="6" l="1"/>
  <c r="J39" i="6"/>
  <c r="I39" i="6"/>
  <c r="I37" i="6" l="1"/>
  <c r="G35" i="6" l="1"/>
  <c r="F35" i="6"/>
  <c r="F36" i="6"/>
  <c r="G36" i="6"/>
  <c r="H36" i="6"/>
  <c r="J36" i="6"/>
  <c r="I34" i="6" l="1"/>
  <c r="I36" i="6" s="1"/>
  <c r="I38" i="6" l="1"/>
  <c r="I31" i="6" l="1"/>
  <c r="B1" i="6" l="1"/>
  <c r="O18" i="6" l="1"/>
  <c r="E18" i="6"/>
  <c r="E39" i="6" s="1"/>
  <c r="I33" i="6" l="1"/>
  <c r="I35" i="6" s="1"/>
  <c r="I32" i="6"/>
  <c r="N32" i="6"/>
  <c r="J32" i="6"/>
  <c r="J33" i="6" s="1"/>
  <c r="J35" i="6" s="1"/>
  <c r="E32" i="6"/>
  <c r="E38" i="6" l="1"/>
  <c r="E35" i="6"/>
  <c r="E36" i="6"/>
  <c r="E33" i="6"/>
  <c r="E31" i="6" s="1"/>
  <c r="E34" i="6" l="1"/>
  <c r="E37" i="6"/>
  <c r="I23" i="6"/>
  <c r="I25" i="6"/>
  <c r="I24" i="6" l="1"/>
  <c r="I22" i="6"/>
  <c r="I30" i="6"/>
  <c r="I27" i="6"/>
  <c r="I26" i="6"/>
  <c r="N21" i="6" l="1"/>
  <c r="G20" i="6" l="1"/>
  <c r="G21" i="6" s="1"/>
  <c r="F20" i="6"/>
  <c r="F29" i="6" s="1"/>
  <c r="I21" i="6"/>
  <c r="I20" i="6"/>
  <c r="I19" i="6"/>
  <c r="F21" i="6" l="1"/>
  <c r="M21" i="6" l="1"/>
  <c r="J20" i="6" l="1"/>
  <c r="J25" i="6" s="1"/>
  <c r="J23" i="6" l="1"/>
  <c r="J24" i="6"/>
  <c r="J21" i="6"/>
  <c r="J26" i="6" s="1"/>
  <c r="J22" i="6"/>
  <c r="J27" i="6" s="1"/>
  <c r="J28" i="6" s="1"/>
  <c r="K118" i="5"/>
  <c r="K116" i="5" s="1"/>
  <c r="Z116" i="5" s="1"/>
  <c r="K119" i="5"/>
  <c r="K120" i="5"/>
  <c r="K121" i="5"/>
  <c r="K132" i="5"/>
  <c r="K133" i="5"/>
  <c r="K135" i="5"/>
  <c r="V116" i="5"/>
  <c r="W116" i="5"/>
  <c r="T116" i="5"/>
  <c r="U116" i="5"/>
  <c r="R116" i="5"/>
  <c r="S116" i="5"/>
  <c r="Q116" i="5"/>
  <c r="P116" i="5"/>
  <c r="H118" i="5"/>
  <c r="H116" i="5" s="1"/>
  <c r="Y116" i="5" s="1"/>
  <c r="H119" i="5"/>
  <c r="H120" i="5"/>
  <c r="H121" i="5"/>
  <c r="H132" i="5"/>
  <c r="H133" i="5"/>
  <c r="H135" i="5"/>
  <c r="Y135" i="5" s="1"/>
  <c r="Y62" i="5"/>
  <c r="K62" i="5"/>
  <c r="Z62" i="5" s="1"/>
  <c r="K61" i="5"/>
  <c r="K58" i="5" s="1"/>
  <c r="L62" i="5"/>
  <c r="K54" i="5"/>
  <c r="Q54" i="5" s="1"/>
  <c r="Q53" i="5" s="1"/>
  <c r="K55" i="5"/>
  <c r="R53" i="5"/>
  <c r="Y53" i="5" s="1"/>
  <c r="S53" i="5"/>
  <c r="T53" i="5"/>
  <c r="U53" i="5"/>
  <c r="H55" i="5"/>
  <c r="V55" i="5" s="1"/>
  <c r="Y55" i="5" s="1"/>
  <c r="H54" i="5"/>
  <c r="P54" i="5" s="1"/>
  <c r="Y54" i="5" s="1"/>
  <c r="L55" i="5"/>
  <c r="Q36" i="5"/>
  <c r="P36" i="5"/>
  <c r="L42" i="5"/>
  <c r="H43" i="5"/>
  <c r="Q41" i="5"/>
  <c r="Q37" i="5" s="1"/>
  <c r="K39" i="5"/>
  <c r="L39" i="5"/>
  <c r="K38" i="5"/>
  <c r="K25" i="5"/>
  <c r="K24" i="5"/>
  <c r="K23" i="5" s="1"/>
  <c r="R20" i="5"/>
  <c r="T20" i="5"/>
  <c r="V20" i="5"/>
  <c r="Y21" i="5"/>
  <c r="Y22" i="5"/>
  <c r="T23" i="5"/>
  <c r="V23" i="5"/>
  <c r="Y24" i="5"/>
  <c r="R26" i="5"/>
  <c r="T26" i="5"/>
  <c r="V26" i="5"/>
  <c r="Y27" i="5"/>
  <c r="Y28" i="5"/>
  <c r="Y29" i="5"/>
  <c r="Y30" i="5"/>
  <c r="Y31" i="5"/>
  <c r="Y32" i="5"/>
  <c r="P33" i="5"/>
  <c r="R33" i="5"/>
  <c r="T33" i="5"/>
  <c r="V33" i="5"/>
  <c r="Y34" i="5"/>
  <c r="Y35" i="5"/>
  <c r="Y36" i="5"/>
  <c r="R37" i="5"/>
  <c r="T37" i="5"/>
  <c r="Y38" i="5"/>
  <c r="Y40" i="5"/>
  <c r="Y41" i="5"/>
  <c r="P43" i="5"/>
  <c r="R43" i="5"/>
  <c r="T43" i="5"/>
  <c r="V43" i="5"/>
  <c r="Y44" i="5"/>
  <c r="Y45" i="5"/>
  <c r="Y46" i="5"/>
  <c r="Y47" i="5"/>
  <c r="Y48" i="5"/>
  <c r="Y49" i="5"/>
  <c r="Y50" i="5"/>
  <c r="Y51" i="5"/>
  <c r="Y52" i="5"/>
  <c r="Y56" i="5"/>
  <c r="Y57" i="5"/>
  <c r="P58" i="5"/>
  <c r="T58" i="5"/>
  <c r="Y59" i="5"/>
  <c r="Y60" i="5"/>
  <c r="Y61" i="5"/>
  <c r="Y63" i="5"/>
  <c r="Y64" i="5"/>
  <c r="Y65" i="5"/>
  <c r="Y66" i="5"/>
  <c r="Y67" i="5"/>
  <c r="Y68" i="5"/>
  <c r="Y69" i="5"/>
  <c r="Y70" i="5"/>
  <c r="Y71" i="5"/>
  <c r="Y72" i="5"/>
  <c r="Y73" i="5"/>
  <c r="Y74" i="5"/>
  <c r="Y75" i="5"/>
  <c r="Y76" i="5"/>
  <c r="Y77" i="5"/>
  <c r="Y78" i="5"/>
  <c r="Y79" i="5"/>
  <c r="Y80" i="5"/>
  <c r="Y81" i="5"/>
  <c r="Y82" i="5"/>
  <c r="Y83" i="5"/>
  <c r="Y84" i="5"/>
  <c r="Y85" i="5"/>
  <c r="Y86" i="5"/>
  <c r="Y87" i="5"/>
  <c r="Y88" i="5"/>
  <c r="Y89" i="5"/>
  <c r="Y90" i="5"/>
  <c r="Y91" i="5"/>
  <c r="Y92" i="5"/>
  <c r="Y93" i="5"/>
  <c r="Y94" i="5"/>
  <c r="Y95" i="5"/>
  <c r="Y96" i="5"/>
  <c r="Y97" i="5"/>
  <c r="Y98" i="5"/>
  <c r="Y99" i="5"/>
  <c r="Y100" i="5"/>
  <c r="Y101" i="5"/>
  <c r="Y102" i="5"/>
  <c r="Y103" i="5"/>
  <c r="Y104" i="5"/>
  <c r="Y105" i="5"/>
  <c r="Y106" i="5"/>
  <c r="Y107" i="5"/>
  <c r="Y108" i="5"/>
  <c r="Y109" i="5"/>
  <c r="Y110" i="5"/>
  <c r="H111" i="5"/>
  <c r="Y111" i="5" s="1"/>
  <c r="H112" i="5"/>
  <c r="Y112" i="5" s="1"/>
  <c r="H113" i="5"/>
  <c r="Y113" i="5" s="1"/>
  <c r="H114" i="5"/>
  <c r="Y114" i="5" s="1"/>
  <c r="H115" i="5"/>
  <c r="Y115" i="5" s="1"/>
  <c r="Y117" i="5"/>
  <c r="Y118" i="5"/>
  <c r="Y119" i="5"/>
  <c r="Y120" i="5"/>
  <c r="Y121" i="5"/>
  <c r="Y122" i="5"/>
  <c r="Y123" i="5"/>
  <c r="Y124" i="5"/>
  <c r="Y125" i="5"/>
  <c r="Y126" i="5"/>
  <c r="Y127" i="5"/>
  <c r="Y128" i="5"/>
  <c r="Y129" i="5"/>
  <c r="Y130" i="5"/>
  <c r="Y131" i="5"/>
  <c r="Y132" i="5"/>
  <c r="Y133" i="5"/>
  <c r="Y134" i="5"/>
  <c r="Y136" i="5"/>
  <c r="Y137" i="5"/>
  <c r="Y138" i="5"/>
  <c r="P139" i="5"/>
  <c r="R141" i="5"/>
  <c r="R139" i="5" s="1"/>
  <c r="T141" i="5"/>
  <c r="T139" i="5" s="1"/>
  <c r="V141" i="5"/>
  <c r="V139" i="5" s="1"/>
  <c r="Y140" i="5"/>
  <c r="Y142" i="5"/>
  <c r="Y143" i="5"/>
  <c r="L35" i="5"/>
  <c r="L38" i="5"/>
  <c r="Z50" i="5"/>
  <c r="Z51" i="5"/>
  <c r="Z52" i="5"/>
  <c r="L67" i="5"/>
  <c r="L51" i="5"/>
  <c r="I151" i="3"/>
  <c r="J151" i="3"/>
  <c r="K151" i="3"/>
  <c r="H151" i="3"/>
  <c r="I135" i="3"/>
  <c r="J135" i="3"/>
  <c r="H135" i="3"/>
  <c r="L50" i="5"/>
  <c r="W20" i="5"/>
  <c r="W23" i="5"/>
  <c r="W26" i="5"/>
  <c r="W33" i="5"/>
  <c r="W37" i="5"/>
  <c r="W43" i="5"/>
  <c r="W58" i="5"/>
  <c r="W68" i="5"/>
  <c r="W139" i="5"/>
  <c r="U20" i="5"/>
  <c r="U23" i="5"/>
  <c r="U26" i="5"/>
  <c r="U33" i="5"/>
  <c r="U37" i="5"/>
  <c r="U43" i="5"/>
  <c r="U58" i="5"/>
  <c r="U68" i="5"/>
  <c r="U139" i="5"/>
  <c r="S20" i="5"/>
  <c r="S23" i="5"/>
  <c r="S26" i="5"/>
  <c r="S33" i="5"/>
  <c r="S37" i="5"/>
  <c r="S43" i="5"/>
  <c r="S58" i="5"/>
  <c r="S68" i="5"/>
  <c r="S139" i="5"/>
  <c r="Q20" i="5"/>
  <c r="Q23" i="5"/>
  <c r="Q26" i="5"/>
  <c r="Q33" i="5"/>
  <c r="Q43" i="5"/>
  <c r="Q58" i="5"/>
  <c r="Q68" i="5"/>
  <c r="Q139" i="5"/>
  <c r="K20" i="5"/>
  <c r="K31" i="5"/>
  <c r="Z31" i="5" s="1"/>
  <c r="K32" i="5"/>
  <c r="K33" i="5"/>
  <c r="K40" i="5"/>
  <c r="K43" i="5"/>
  <c r="K111" i="5"/>
  <c r="Z111" i="5" s="1"/>
  <c r="K112" i="5"/>
  <c r="Z112" i="5" s="1"/>
  <c r="K113" i="5"/>
  <c r="Z113" i="5" s="1"/>
  <c r="K114" i="5"/>
  <c r="Z114" i="5" s="1"/>
  <c r="K115" i="5"/>
  <c r="K139" i="5"/>
  <c r="Z21" i="5"/>
  <c r="Z22" i="5"/>
  <c r="Z24" i="5"/>
  <c r="Z27" i="5"/>
  <c r="Z28" i="5"/>
  <c r="Z29" i="5"/>
  <c r="Z30" i="5"/>
  <c r="L34" i="5"/>
  <c r="Z34" i="5"/>
  <c r="Z35" i="5"/>
  <c r="Z38" i="5"/>
  <c r="L40" i="5"/>
  <c r="Z41" i="5"/>
  <c r="L44" i="5"/>
  <c r="Z44" i="5"/>
  <c r="L45" i="5"/>
  <c r="Z45" i="5"/>
  <c r="L46" i="5"/>
  <c r="Z46" i="5"/>
  <c r="L47" i="5"/>
  <c r="Z47" i="5"/>
  <c r="L48" i="5"/>
  <c r="Z48" i="5"/>
  <c r="L49" i="5"/>
  <c r="Z49" i="5"/>
  <c r="L56" i="5"/>
  <c r="Z56" i="5"/>
  <c r="L59" i="5"/>
  <c r="Z59" i="5"/>
  <c r="L60" i="5"/>
  <c r="Z60" i="5"/>
  <c r="L61" i="5"/>
  <c r="Z61" i="5"/>
  <c r="L63" i="5"/>
  <c r="Z63" i="5"/>
  <c r="L64" i="5"/>
  <c r="Z64" i="5"/>
  <c r="L65" i="5"/>
  <c r="Z65" i="5"/>
  <c r="L66" i="5"/>
  <c r="Z66" i="5"/>
  <c r="Z67" i="5"/>
  <c r="L69" i="5"/>
  <c r="Z69" i="5"/>
  <c r="L70" i="5"/>
  <c r="Z70" i="5"/>
  <c r="L71" i="5"/>
  <c r="Z71" i="5"/>
  <c r="L72" i="5"/>
  <c r="Z72" i="5"/>
  <c r="L73" i="5"/>
  <c r="Z73" i="5"/>
  <c r="L74" i="5"/>
  <c r="Z74" i="5"/>
  <c r="L75" i="5"/>
  <c r="Z75" i="5"/>
  <c r="L76" i="5"/>
  <c r="Z76" i="5"/>
  <c r="L77" i="5"/>
  <c r="Z77" i="5"/>
  <c r="L78" i="5"/>
  <c r="Z78" i="5"/>
  <c r="L79" i="5"/>
  <c r="Z79" i="5"/>
  <c r="L80" i="5"/>
  <c r="Z80" i="5"/>
  <c r="L81" i="5"/>
  <c r="Z81" i="5"/>
  <c r="L82" i="5"/>
  <c r="Z82" i="5"/>
  <c r="L83" i="5"/>
  <c r="Z83" i="5"/>
  <c r="L84" i="5"/>
  <c r="Z84" i="5"/>
  <c r="L85" i="5"/>
  <c r="Z85" i="5"/>
  <c r="L86" i="5"/>
  <c r="Z86" i="5"/>
  <c r="L87" i="5"/>
  <c r="Z87" i="5"/>
  <c r="L88" i="5"/>
  <c r="Z88" i="5"/>
  <c r="L89" i="5"/>
  <c r="Z89" i="5"/>
  <c r="L90" i="5"/>
  <c r="Z90" i="5"/>
  <c r="L91" i="5"/>
  <c r="Z91" i="5"/>
  <c r="L92" i="5"/>
  <c r="Z92" i="5"/>
  <c r="L93" i="5"/>
  <c r="Z93" i="5"/>
  <c r="L94" i="5"/>
  <c r="Z94" i="5"/>
  <c r="L95" i="5"/>
  <c r="Z95" i="5"/>
  <c r="L96" i="5"/>
  <c r="Z96" i="5"/>
  <c r="L97" i="5"/>
  <c r="Z97" i="5"/>
  <c r="L98" i="5"/>
  <c r="Z98" i="5"/>
  <c r="L99" i="5"/>
  <c r="Z99" i="5"/>
  <c r="L100" i="5"/>
  <c r="Z100" i="5"/>
  <c r="L101" i="5"/>
  <c r="Z101" i="5"/>
  <c r="L102" i="5"/>
  <c r="Z102" i="5"/>
  <c r="L103" i="5"/>
  <c r="Z103" i="5"/>
  <c r="L104" i="5"/>
  <c r="Z104" i="5"/>
  <c r="L105" i="5"/>
  <c r="Z105" i="5"/>
  <c r="L106" i="5"/>
  <c r="Z106" i="5"/>
  <c r="L107" i="5"/>
  <c r="Z107" i="5"/>
  <c r="L108" i="5"/>
  <c r="Z108" i="5"/>
  <c r="L109" i="5"/>
  <c r="Z109" i="5"/>
  <c r="L110" i="5"/>
  <c r="Z110" i="5"/>
  <c r="L111" i="5"/>
  <c r="L112" i="5"/>
  <c r="L113" i="5"/>
  <c r="L114" i="5"/>
  <c r="L115" i="5"/>
  <c r="Z115" i="5"/>
  <c r="L117" i="5"/>
  <c r="Z117" i="5"/>
  <c r="L118" i="5"/>
  <c r="Z118" i="5"/>
  <c r="L119" i="5"/>
  <c r="Z119" i="5"/>
  <c r="L120" i="5"/>
  <c r="Z120" i="5"/>
  <c r="L121" i="5"/>
  <c r="Z121" i="5"/>
  <c r="L122" i="5"/>
  <c r="Z122" i="5"/>
  <c r="L123" i="5"/>
  <c r="Z123" i="5"/>
  <c r="L124" i="5"/>
  <c r="Z124" i="5"/>
  <c r="L125" i="5"/>
  <c r="Z125" i="5"/>
  <c r="L126" i="5"/>
  <c r="Z126" i="5"/>
  <c r="L127" i="5"/>
  <c r="Z127" i="5"/>
  <c r="L128" i="5"/>
  <c r="Z128" i="5"/>
  <c r="L129" i="5"/>
  <c r="Z129" i="5"/>
  <c r="L130" i="5"/>
  <c r="Z130" i="5"/>
  <c r="L131" i="5"/>
  <c r="Z131" i="5"/>
  <c r="L132" i="5"/>
  <c r="Z132" i="5"/>
  <c r="L133" i="5"/>
  <c r="Z133" i="5"/>
  <c r="L134" i="5"/>
  <c r="Z134" i="5"/>
  <c r="L137" i="5"/>
  <c r="Z137" i="5"/>
  <c r="L135" i="5"/>
  <c r="Z135" i="5"/>
  <c r="L136" i="5"/>
  <c r="Z136" i="5"/>
  <c r="L140" i="5"/>
  <c r="Z140" i="5"/>
  <c r="L141" i="5"/>
  <c r="Z141" i="5"/>
  <c r="Z142" i="5"/>
  <c r="K136" i="3"/>
  <c r="Z136" i="3" s="1"/>
  <c r="K137" i="3"/>
  <c r="Z137" i="3" s="1"/>
  <c r="K138" i="3"/>
  <c r="Z138" i="3" s="1"/>
  <c r="K139" i="3"/>
  <c r="K141" i="3"/>
  <c r="Z141" i="3" s="1"/>
  <c r="K142" i="3"/>
  <c r="K143" i="3"/>
  <c r="Z143" i="3" s="1"/>
  <c r="K144" i="3"/>
  <c r="K145" i="3"/>
  <c r="Z145" i="3" s="1"/>
  <c r="Q146" i="3"/>
  <c r="K146" i="3" s="1"/>
  <c r="Z146" i="3" s="1"/>
  <c r="Q147" i="3"/>
  <c r="K147" i="3" s="1"/>
  <c r="Z147" i="3" s="1"/>
  <c r="K148" i="3"/>
  <c r="Z148" i="3" s="1"/>
  <c r="K149" i="3"/>
  <c r="K150" i="3"/>
  <c r="Z150" i="3" s="1"/>
  <c r="K140" i="3"/>
  <c r="Z140" i="3" s="1"/>
  <c r="V131" i="3"/>
  <c r="W131" i="3"/>
  <c r="Z131" i="3" s="1"/>
  <c r="W130" i="3"/>
  <c r="V130" i="3"/>
  <c r="K116" i="3"/>
  <c r="K114" i="3" s="1"/>
  <c r="U61" i="3"/>
  <c r="U56" i="3" s="1"/>
  <c r="K46" i="3"/>
  <c r="Z46" i="3" s="1"/>
  <c r="K44" i="3"/>
  <c r="K32" i="3"/>
  <c r="K26" i="3" s="1"/>
  <c r="H32" i="3"/>
  <c r="K321" i="3"/>
  <c r="Z321" i="3" s="1"/>
  <c r="H321" i="3"/>
  <c r="K412" i="3"/>
  <c r="K323" i="3" s="1"/>
  <c r="Z24" i="3"/>
  <c r="Z25" i="3"/>
  <c r="Q26" i="3"/>
  <c r="S26" i="3"/>
  <c r="U26" i="3"/>
  <c r="W26" i="3"/>
  <c r="Z27" i="3"/>
  <c r="Z28" i="3"/>
  <c r="Z29" i="3"/>
  <c r="Z30" i="3"/>
  <c r="Z31" i="3"/>
  <c r="Z33" i="3"/>
  <c r="Q34" i="3"/>
  <c r="S34" i="3"/>
  <c r="U34" i="3"/>
  <c r="W34" i="3"/>
  <c r="Z35" i="3"/>
  <c r="Z36" i="3"/>
  <c r="Z37" i="3"/>
  <c r="Z38" i="3"/>
  <c r="Z39" i="3"/>
  <c r="Z40" i="3"/>
  <c r="Z41" i="3"/>
  <c r="Z42" i="3"/>
  <c r="Z43" i="3"/>
  <c r="Z45" i="3"/>
  <c r="Z47" i="3"/>
  <c r="K48" i="3"/>
  <c r="Q48" i="3"/>
  <c r="S48" i="3"/>
  <c r="U48" i="3"/>
  <c r="W48" i="3"/>
  <c r="Z49" i="3"/>
  <c r="Z50" i="3"/>
  <c r="Z51" i="3"/>
  <c r="Z52" i="3"/>
  <c r="Z53" i="3"/>
  <c r="Z54" i="3"/>
  <c r="Z55" i="3"/>
  <c r="K56" i="3"/>
  <c r="Q56" i="3"/>
  <c r="S56" i="3"/>
  <c r="W56" i="3"/>
  <c r="Z57" i="3"/>
  <c r="Z58" i="3"/>
  <c r="Z59" i="3"/>
  <c r="Z60" i="3"/>
  <c r="Z62" i="3"/>
  <c r="Z63" i="3"/>
  <c r="Z64" i="3"/>
  <c r="Z65" i="3"/>
  <c r="Z66" i="3"/>
  <c r="Z67" i="3"/>
  <c r="Z68" i="3"/>
  <c r="K69" i="3"/>
  <c r="Q69" i="3"/>
  <c r="S69" i="3"/>
  <c r="U69" i="3"/>
  <c r="W69" i="3"/>
  <c r="Z70" i="3"/>
  <c r="Z71" i="3"/>
  <c r="Z72" i="3"/>
  <c r="Z73" i="3"/>
  <c r="Z74" i="3"/>
  <c r="Z75" i="3"/>
  <c r="Z76" i="3"/>
  <c r="Z77" i="3"/>
  <c r="Z78" i="3"/>
  <c r="Z79" i="3"/>
  <c r="Z80" i="3"/>
  <c r="Z81" i="3"/>
  <c r="Z82" i="3"/>
  <c r="K83" i="3"/>
  <c r="Q83" i="3"/>
  <c r="S83" i="3"/>
  <c r="U83" i="3"/>
  <c r="W83" i="3"/>
  <c r="Z84" i="3"/>
  <c r="Z85" i="3"/>
  <c r="Z86" i="3"/>
  <c r="Z87" i="3"/>
  <c r="Z88" i="3"/>
  <c r="Z89" i="3"/>
  <c r="Z90" i="3"/>
  <c r="Z91" i="3"/>
  <c r="K92" i="3"/>
  <c r="Q92" i="3"/>
  <c r="S92" i="3"/>
  <c r="U92" i="3"/>
  <c r="W92" i="3"/>
  <c r="Z93" i="3"/>
  <c r="Z94" i="3"/>
  <c r="Z95" i="3"/>
  <c r="Z96" i="3"/>
  <c r="Z97" i="3"/>
  <c r="Z98" i="3"/>
  <c r="Z99" i="3"/>
  <c r="Z100" i="3"/>
  <c r="Z101" i="3"/>
  <c r="Z102" i="3"/>
  <c r="Z103" i="3"/>
  <c r="Z104" i="3"/>
  <c r="Z105" i="3"/>
  <c r="Z106" i="3"/>
  <c r="Z107" i="3"/>
  <c r="Z108" i="3"/>
  <c r="Z109" i="3"/>
  <c r="Z110" i="3"/>
  <c r="Z111" i="3"/>
  <c r="Z112" i="3"/>
  <c r="Z113" i="3"/>
  <c r="Q114" i="3"/>
  <c r="S114" i="3"/>
  <c r="U114" i="3"/>
  <c r="W114" i="3"/>
  <c r="Z115" i="3"/>
  <c r="Z117" i="3"/>
  <c r="Z118" i="3"/>
  <c r="Z119" i="3"/>
  <c r="K120" i="3"/>
  <c r="Q120" i="3"/>
  <c r="S120" i="3"/>
  <c r="U120" i="3"/>
  <c r="Z121" i="3"/>
  <c r="Z122" i="3"/>
  <c r="Z123" i="3"/>
  <c r="Z124" i="3"/>
  <c r="Z125" i="3"/>
  <c r="Z126" i="3"/>
  <c r="Z127" i="3"/>
  <c r="Z128" i="3"/>
  <c r="Z129" i="3"/>
  <c r="Z132" i="3"/>
  <c r="Z133" i="3"/>
  <c r="Z134" i="3"/>
  <c r="S135" i="3"/>
  <c r="U135" i="3"/>
  <c r="W135" i="3"/>
  <c r="Z139" i="3"/>
  <c r="Z142" i="3"/>
  <c r="Z144" i="3"/>
  <c r="Z149" i="3"/>
  <c r="Q151" i="3"/>
  <c r="S151" i="3"/>
  <c r="Z151" i="3" s="1"/>
  <c r="U151" i="3"/>
  <c r="W151" i="3"/>
  <c r="Z152" i="3"/>
  <c r="Z153" i="3"/>
  <c r="Z154" i="3"/>
  <c r="Z155" i="3"/>
  <c r="Z156" i="3"/>
  <c r="Z157" i="3"/>
  <c r="Z158" i="3"/>
  <c r="Z159" i="3"/>
  <c r="Z160" i="3"/>
  <c r="Z161" i="3"/>
  <c r="Z162" i="3"/>
  <c r="Z163" i="3"/>
  <c r="Z164" i="3"/>
  <c r="Z165" i="3"/>
  <c r="Z166" i="3"/>
  <c r="Z167" i="3"/>
  <c r="Z168" i="3"/>
  <c r="Z169" i="3"/>
  <c r="Z171" i="3"/>
  <c r="K172" i="3"/>
  <c r="Q172" i="3"/>
  <c r="S172" i="3"/>
  <c r="U172" i="3"/>
  <c r="W172" i="3"/>
  <c r="Z173" i="3"/>
  <c r="Z174" i="3"/>
  <c r="Z175" i="3"/>
  <c r="Z176" i="3"/>
  <c r="Z177" i="3"/>
  <c r="Z178" i="3"/>
  <c r="Z179" i="3"/>
  <c r="Z180" i="3"/>
  <c r="K181" i="3"/>
  <c r="Q181" i="3"/>
  <c r="S181" i="3"/>
  <c r="U181" i="3"/>
  <c r="W181" i="3"/>
  <c r="Z182" i="3"/>
  <c r="Z183" i="3"/>
  <c r="Z184" i="3"/>
  <c r="Z185" i="3"/>
  <c r="Z186" i="3"/>
  <c r="Z187" i="3"/>
  <c r="Z188" i="3"/>
  <c r="Z189" i="3"/>
  <c r="Z190" i="3"/>
  <c r="Z191" i="3"/>
  <c r="Z192" i="3"/>
  <c r="Z193" i="3"/>
  <c r="Z194" i="3"/>
  <c r="Z195" i="3"/>
  <c r="Z196" i="3"/>
  <c r="Z197" i="3"/>
  <c r="Z198" i="3"/>
  <c r="K199" i="3"/>
  <c r="Q199" i="3"/>
  <c r="S199" i="3"/>
  <c r="U199" i="3"/>
  <c r="W199" i="3"/>
  <c r="Z200" i="3"/>
  <c r="Z201" i="3"/>
  <c r="Z202" i="3"/>
  <c r="Z203" i="3"/>
  <c r="Z204" i="3"/>
  <c r="Z205" i="3"/>
  <c r="Z206" i="3"/>
  <c r="Z207" i="3"/>
  <c r="Z208" i="3"/>
  <c r="Z209" i="3"/>
  <c r="K210" i="3"/>
  <c r="Q210" i="3"/>
  <c r="S210" i="3"/>
  <c r="U210" i="3"/>
  <c r="W210" i="3"/>
  <c r="Z211" i="3"/>
  <c r="Z212" i="3"/>
  <c r="Z213" i="3"/>
  <c r="Z214" i="3"/>
  <c r="Z215" i="3"/>
  <c r="Z216" i="3"/>
  <c r="Z217" i="3"/>
  <c r="Z218" i="3"/>
  <c r="K219" i="3"/>
  <c r="Q219" i="3"/>
  <c r="S219" i="3"/>
  <c r="U219" i="3"/>
  <c r="W219" i="3"/>
  <c r="Z220" i="3"/>
  <c r="Z221" i="3"/>
  <c r="Z222" i="3"/>
  <c r="Z223" i="3"/>
  <c r="K224" i="3"/>
  <c r="Q224" i="3"/>
  <c r="S224" i="3"/>
  <c r="U224" i="3"/>
  <c r="W224" i="3"/>
  <c r="Z225" i="3"/>
  <c r="Z226" i="3"/>
  <c r="Z227" i="3"/>
  <c r="K228" i="3"/>
  <c r="Q228" i="3"/>
  <c r="S228" i="3"/>
  <c r="U228" i="3"/>
  <c r="W228" i="3"/>
  <c r="Z229" i="3"/>
  <c r="Z230" i="3"/>
  <c r="Z231" i="3"/>
  <c r="K232" i="3"/>
  <c r="Q232" i="3"/>
  <c r="S232" i="3"/>
  <c r="U232" i="3"/>
  <c r="W232" i="3"/>
  <c r="Z233" i="3"/>
  <c r="Z234" i="3"/>
  <c r="Z235" i="3"/>
  <c r="Z236" i="3"/>
  <c r="Z237" i="3"/>
  <c r="Z238" i="3"/>
  <c r="Z239" i="3"/>
  <c r="Z240" i="3"/>
  <c r="Z241" i="3"/>
  <c r="Z242" i="3"/>
  <c r="K291" i="3"/>
  <c r="Z291" i="3" s="1"/>
  <c r="K292" i="3"/>
  <c r="Z292" i="3" s="1"/>
  <c r="K293" i="3"/>
  <c r="Z293" i="3" s="1"/>
  <c r="K294" i="3"/>
  <c r="Z294" i="3" s="1"/>
  <c r="K295" i="3"/>
  <c r="Z295" i="3" s="1"/>
  <c r="K296" i="3"/>
  <c r="Z296" i="3" s="1"/>
  <c r="Q243" i="3"/>
  <c r="S243" i="3"/>
  <c r="U243" i="3"/>
  <c r="W243" i="3"/>
  <c r="Z244" i="3"/>
  <c r="Z245" i="3"/>
  <c r="Z246" i="3"/>
  <c r="Z247" i="3"/>
  <c r="Z248" i="3"/>
  <c r="Z249" i="3"/>
  <c r="Z250" i="3"/>
  <c r="Z251" i="3"/>
  <c r="Z252" i="3"/>
  <c r="Z253" i="3"/>
  <c r="Z254" i="3"/>
  <c r="Z255" i="3"/>
  <c r="Z256" i="3"/>
  <c r="Z257" i="3"/>
  <c r="Z258" i="3"/>
  <c r="Z259" i="3"/>
  <c r="Z260" i="3"/>
  <c r="Z261" i="3"/>
  <c r="Z262" i="3"/>
  <c r="Z263" i="3"/>
  <c r="Z264" i="3"/>
  <c r="Z265" i="3"/>
  <c r="Z266" i="3"/>
  <c r="Z267" i="3"/>
  <c r="Z268" i="3"/>
  <c r="Z269" i="3"/>
  <c r="Z270" i="3"/>
  <c r="Z271" i="3"/>
  <c r="Z272" i="3"/>
  <c r="Z273" i="3"/>
  <c r="Z274" i="3"/>
  <c r="Z275" i="3"/>
  <c r="Z276" i="3"/>
  <c r="Z277" i="3"/>
  <c r="Z278" i="3"/>
  <c r="Z279" i="3"/>
  <c r="Z280" i="3"/>
  <c r="Z281" i="3"/>
  <c r="Z282" i="3"/>
  <c r="Z283" i="3"/>
  <c r="Z284" i="3"/>
  <c r="Z285" i="3"/>
  <c r="Z286" i="3"/>
  <c r="Z287" i="3"/>
  <c r="Z288" i="3"/>
  <c r="Z289" i="3"/>
  <c r="Z290" i="3"/>
  <c r="K299" i="3"/>
  <c r="Z299" i="3" s="1"/>
  <c r="K300" i="3"/>
  <c r="K301" i="3"/>
  <c r="Z301" i="3" s="1"/>
  <c r="K302" i="3"/>
  <c r="K316" i="3"/>
  <c r="K317" i="3"/>
  <c r="Q297" i="3"/>
  <c r="S297" i="3"/>
  <c r="U297" i="3"/>
  <c r="W297" i="3"/>
  <c r="Z298" i="3"/>
  <c r="Z300" i="3"/>
  <c r="Z302" i="3"/>
  <c r="Z303" i="3"/>
  <c r="Z304" i="3"/>
  <c r="Z305" i="3"/>
  <c r="Z306" i="3"/>
  <c r="Z307" i="3"/>
  <c r="Z308" i="3"/>
  <c r="Z309" i="3"/>
  <c r="Z310" i="3"/>
  <c r="Z311" i="3"/>
  <c r="Z312" i="3"/>
  <c r="Z313" i="3"/>
  <c r="Z314" i="3"/>
  <c r="Z315" i="3"/>
  <c r="Z316" i="3"/>
  <c r="Z317" i="3"/>
  <c r="Z318" i="3"/>
  <c r="Z319" i="3"/>
  <c r="Z320" i="3"/>
  <c r="Z322" i="3"/>
  <c r="Q323" i="3"/>
  <c r="S323" i="3"/>
  <c r="U323" i="3"/>
  <c r="W323" i="3"/>
  <c r="Z324" i="3"/>
  <c r="Z325" i="3"/>
  <c r="Z326" i="3"/>
  <c r="Z327" i="3"/>
  <c r="Z328" i="3"/>
  <c r="Z329" i="3"/>
  <c r="Z330" i="3"/>
  <c r="Z331" i="3"/>
  <c r="Z332" i="3"/>
  <c r="Z333" i="3"/>
  <c r="Z334" i="3"/>
  <c r="Z335" i="3"/>
  <c r="Z336" i="3"/>
  <c r="Z337" i="3"/>
  <c r="Z338" i="3"/>
  <c r="Z339" i="3"/>
  <c r="Z340" i="3"/>
  <c r="Z341" i="3"/>
  <c r="Z342" i="3"/>
  <c r="Z343" i="3"/>
  <c r="Z344" i="3"/>
  <c r="Z345" i="3"/>
  <c r="Z346" i="3"/>
  <c r="Z347" i="3"/>
  <c r="Z348" i="3"/>
  <c r="Z349" i="3"/>
  <c r="Z350" i="3"/>
  <c r="Z351" i="3"/>
  <c r="Z352" i="3"/>
  <c r="Z353" i="3"/>
  <c r="Z354" i="3"/>
  <c r="Z355" i="3"/>
  <c r="Z356" i="3"/>
  <c r="Z357" i="3"/>
  <c r="Z358" i="3"/>
  <c r="Z359" i="3"/>
  <c r="Z360" i="3"/>
  <c r="Z361" i="3"/>
  <c r="Z362" i="3"/>
  <c r="Z363" i="3"/>
  <c r="Z364" i="3"/>
  <c r="Z365" i="3"/>
  <c r="Z366" i="3"/>
  <c r="Z367" i="3"/>
  <c r="Z368" i="3"/>
  <c r="Z369" i="3"/>
  <c r="Z370" i="3"/>
  <c r="Z371" i="3"/>
  <c r="Z372" i="3"/>
  <c r="Z373" i="3"/>
  <c r="Z374" i="3"/>
  <c r="Z375" i="3"/>
  <c r="Z376" i="3"/>
  <c r="Z377" i="3"/>
  <c r="Z378" i="3"/>
  <c r="Z379" i="3"/>
  <c r="Z380" i="3"/>
  <c r="Z381" i="3"/>
  <c r="Z382" i="3"/>
  <c r="Z383" i="3"/>
  <c r="Z384" i="3"/>
  <c r="Z385" i="3"/>
  <c r="Z386" i="3"/>
  <c r="Z387" i="3"/>
  <c r="Z388" i="3"/>
  <c r="Z389" i="3"/>
  <c r="Z390" i="3"/>
  <c r="Z391" i="3"/>
  <c r="Z392" i="3"/>
  <c r="Z393" i="3"/>
  <c r="Z394" i="3"/>
  <c r="Z395" i="3"/>
  <c r="Z396" i="3"/>
  <c r="Z397" i="3"/>
  <c r="Z398" i="3"/>
  <c r="Z399" i="3"/>
  <c r="Z400" i="3"/>
  <c r="Z401" i="3"/>
  <c r="Z402" i="3"/>
  <c r="Z403" i="3"/>
  <c r="Z404" i="3"/>
  <c r="Z405" i="3"/>
  <c r="Z406" i="3"/>
  <c r="Z407" i="3"/>
  <c r="Z408" i="3"/>
  <c r="Z409" i="3"/>
  <c r="Z410" i="3"/>
  <c r="Z411" i="3"/>
  <c r="Z412" i="3"/>
  <c r="K413" i="3"/>
  <c r="Q413" i="3"/>
  <c r="S413" i="3"/>
  <c r="U413" i="3"/>
  <c r="W413" i="3"/>
  <c r="Z414" i="3"/>
  <c r="Z415" i="3"/>
  <c r="Z416" i="3"/>
  <c r="Z417" i="3"/>
  <c r="Z418" i="3"/>
  <c r="Z419" i="3"/>
  <c r="Z420" i="3"/>
  <c r="K23" i="3"/>
  <c r="U23" i="3"/>
  <c r="U421" i="3" s="1"/>
  <c r="W23" i="3"/>
  <c r="Q23" i="3"/>
  <c r="S23" i="3"/>
  <c r="S421" i="3"/>
  <c r="V419" i="3"/>
  <c r="V413" i="3" s="1"/>
  <c r="T419" i="3"/>
  <c r="T413" i="3" s="1"/>
  <c r="R419" i="3"/>
  <c r="R413" i="3" s="1"/>
  <c r="P413" i="3"/>
  <c r="V323" i="3"/>
  <c r="T323" i="3"/>
  <c r="R323" i="3"/>
  <c r="P323" i="3"/>
  <c r="V297" i="3"/>
  <c r="T297" i="3"/>
  <c r="R297" i="3"/>
  <c r="P297" i="3"/>
  <c r="V243" i="3"/>
  <c r="T243" i="3"/>
  <c r="R243" i="3"/>
  <c r="P243" i="3"/>
  <c r="V232" i="3"/>
  <c r="T232" i="3"/>
  <c r="R232" i="3"/>
  <c r="P232" i="3"/>
  <c r="V228" i="3"/>
  <c r="T228" i="3"/>
  <c r="R228" i="3"/>
  <c r="P228" i="3"/>
  <c r="V224" i="3"/>
  <c r="T224" i="3"/>
  <c r="R224" i="3"/>
  <c r="P224" i="3"/>
  <c r="V219" i="3"/>
  <c r="T219" i="3"/>
  <c r="R219" i="3"/>
  <c r="P219" i="3"/>
  <c r="V210" i="3"/>
  <c r="T210" i="3"/>
  <c r="R210" i="3"/>
  <c r="P210" i="3"/>
  <c r="V199" i="3"/>
  <c r="T199" i="3"/>
  <c r="R199" i="3"/>
  <c r="P199" i="3"/>
  <c r="V181" i="3"/>
  <c r="T181" i="3"/>
  <c r="R181" i="3"/>
  <c r="P181" i="3"/>
  <c r="V172" i="3"/>
  <c r="T172" i="3"/>
  <c r="R172" i="3"/>
  <c r="P172" i="3"/>
  <c r="V151" i="3"/>
  <c r="T151" i="3"/>
  <c r="R151" i="3"/>
  <c r="P151" i="3"/>
  <c r="V135" i="3"/>
  <c r="T135" i="3"/>
  <c r="R135" i="3"/>
  <c r="P136" i="3"/>
  <c r="P137" i="3"/>
  <c r="P138" i="3"/>
  <c r="P139" i="3"/>
  <c r="P140" i="3"/>
  <c r="P141" i="3"/>
  <c r="P142" i="3"/>
  <c r="P143" i="3"/>
  <c r="P144" i="3"/>
  <c r="P145" i="3"/>
  <c r="P146" i="3"/>
  <c r="P147" i="3"/>
  <c r="P148" i="3"/>
  <c r="P149" i="3"/>
  <c r="P150" i="3"/>
  <c r="T120" i="3"/>
  <c r="R120" i="3"/>
  <c r="P120" i="3"/>
  <c r="V114" i="3"/>
  <c r="T114" i="3"/>
  <c r="R114" i="3"/>
  <c r="P114" i="3"/>
  <c r="V92" i="3"/>
  <c r="T92" i="3"/>
  <c r="R92" i="3"/>
  <c r="P92" i="3"/>
  <c r="P69" i="3"/>
  <c r="R69" i="3"/>
  <c r="T69" i="3"/>
  <c r="V69" i="3"/>
  <c r="P56" i="3"/>
  <c r="R56" i="3"/>
  <c r="T56" i="3"/>
  <c r="V56" i="3"/>
  <c r="V48" i="3"/>
  <c r="T48" i="3"/>
  <c r="R48" i="3"/>
  <c r="P48" i="3"/>
  <c r="V34" i="3"/>
  <c r="T34" i="3"/>
  <c r="R34" i="3"/>
  <c r="P34" i="3"/>
  <c r="V26" i="3"/>
  <c r="T26" i="3"/>
  <c r="R26" i="3"/>
  <c r="P26" i="3"/>
  <c r="V23" i="3"/>
  <c r="T23" i="3"/>
  <c r="R23" i="3"/>
  <c r="P23" i="3"/>
  <c r="L147" i="3"/>
  <c r="H181" i="3"/>
  <c r="H83" i="3"/>
  <c r="V83" i="3"/>
  <c r="T83" i="3"/>
  <c r="R83" i="3"/>
  <c r="P83" i="3"/>
  <c r="I12" i="1"/>
  <c r="I19" i="1" s="1"/>
  <c r="K19" i="1"/>
  <c r="M19" i="1"/>
  <c r="O19" i="1"/>
  <c r="Q19" i="1"/>
  <c r="I21" i="1"/>
  <c r="I25" i="1"/>
  <c r="I32" i="1"/>
  <c r="O33" i="1"/>
  <c r="I33" i="1" s="1"/>
  <c r="K34" i="1"/>
  <c r="M34" i="1"/>
  <c r="O34" i="1"/>
  <c r="Q34" i="1"/>
  <c r="O40" i="1"/>
  <c r="O41" i="1" s="1"/>
  <c r="Q40" i="1"/>
  <c r="Q41" i="1" s="1"/>
  <c r="I41" i="1"/>
  <c r="K41" i="1"/>
  <c r="M41" i="1"/>
  <c r="I43" i="1"/>
  <c r="J43" i="1"/>
  <c r="K43" i="1"/>
  <c r="L43" i="1"/>
  <c r="M43" i="1"/>
  <c r="N43" i="1"/>
  <c r="O43" i="1"/>
  <c r="P43" i="1"/>
  <c r="Q43" i="1"/>
  <c r="G44" i="1"/>
  <c r="O51" i="1"/>
  <c r="O59" i="1" s="1"/>
  <c r="I54" i="1"/>
  <c r="I57" i="1"/>
  <c r="M59" i="1"/>
  <c r="Q59" i="1"/>
  <c r="I73" i="1"/>
  <c r="I74" i="1" s="1"/>
  <c r="K74" i="1"/>
  <c r="M74" i="1"/>
  <c r="O74" i="1"/>
  <c r="Q74" i="1"/>
  <c r="G76" i="1"/>
  <c r="I76" i="1"/>
  <c r="G77" i="1"/>
  <c r="I77" i="1"/>
  <c r="G78" i="1"/>
  <c r="I78" i="1"/>
  <c r="G79" i="1"/>
  <c r="I79" i="1"/>
  <c r="G80" i="1"/>
  <c r="I80" i="1"/>
  <c r="G82" i="1"/>
  <c r="I82" i="1"/>
  <c r="I84" i="1" s="1"/>
  <c r="K84" i="1"/>
  <c r="M84" i="1"/>
  <c r="O84" i="1"/>
  <c r="Q84" i="1"/>
  <c r="I86" i="1"/>
  <c r="I87" i="1"/>
  <c r="I88" i="1"/>
  <c r="I90" i="1"/>
  <c r="I91" i="1"/>
  <c r="I92" i="1"/>
  <c r="I93" i="1"/>
  <c r="I94" i="1"/>
  <c r="I95" i="1"/>
  <c r="I96" i="1"/>
  <c r="M107" i="1"/>
  <c r="O107" i="1"/>
  <c r="Q107" i="1"/>
  <c r="I110" i="1"/>
  <c r="I111" i="1"/>
  <c r="K114" i="1"/>
  <c r="M114" i="1"/>
  <c r="O114" i="1"/>
  <c r="Q114" i="1"/>
  <c r="I117" i="1"/>
  <c r="I118" i="1"/>
  <c r="O118" i="1"/>
  <c r="N121" i="1"/>
  <c r="O121" i="1"/>
  <c r="I121" i="1" s="1"/>
  <c r="I123" i="1"/>
  <c r="K127" i="1"/>
  <c r="M127" i="1"/>
  <c r="Q127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K143" i="1"/>
  <c r="I145" i="1"/>
  <c r="K145" i="1" s="1"/>
  <c r="I146" i="1"/>
  <c r="K146" i="1" s="1"/>
  <c r="I147" i="1"/>
  <c r="K147" i="1" s="1"/>
  <c r="I148" i="1"/>
  <c r="K148" i="1" s="1"/>
  <c r="I149" i="1"/>
  <c r="K149" i="1" s="1"/>
  <c r="I150" i="1"/>
  <c r="K150" i="1" s="1"/>
  <c r="I151" i="1"/>
  <c r="K151" i="1" s="1"/>
  <c r="I152" i="1"/>
  <c r="K152" i="1" s="1"/>
  <c r="I153" i="1"/>
  <c r="K153" i="1" s="1"/>
  <c r="I154" i="1"/>
  <c r="K154" i="1" s="1"/>
  <c r="I155" i="1"/>
  <c r="K155" i="1" s="1"/>
  <c r="I156" i="1"/>
  <c r="K156" i="1" s="1"/>
  <c r="I157" i="1"/>
  <c r="K157" i="1" s="1"/>
  <c r="I158" i="1"/>
  <c r="K158" i="1" s="1"/>
  <c r="I159" i="1"/>
  <c r="K159" i="1" s="1"/>
  <c r="I160" i="1"/>
  <c r="K160" i="1" s="1"/>
  <c r="I161" i="1"/>
  <c r="K161" i="1" s="1"/>
  <c r="I162" i="1"/>
  <c r="K162" i="1" s="1"/>
  <c r="I163" i="1"/>
  <c r="K163" i="1" s="1"/>
  <c r="I166" i="1"/>
  <c r="J166" i="1"/>
  <c r="K166" i="1"/>
  <c r="I167" i="1"/>
  <c r="J167" i="1"/>
  <c r="K167" i="1"/>
  <c r="I168" i="1"/>
  <c r="J168" i="1"/>
  <c r="K168" i="1"/>
  <c r="I169" i="1"/>
  <c r="J169" i="1"/>
  <c r="K169" i="1"/>
  <c r="I170" i="1"/>
  <c r="J170" i="1"/>
  <c r="K170" i="1"/>
  <c r="I171" i="1"/>
  <c r="K171" i="1" s="1"/>
  <c r="J171" i="1"/>
  <c r="I172" i="1"/>
  <c r="J172" i="1"/>
  <c r="I173" i="1"/>
  <c r="J173" i="1"/>
  <c r="Q174" i="1"/>
  <c r="I176" i="1"/>
  <c r="J176" i="1"/>
  <c r="K176" i="1"/>
  <c r="I177" i="1"/>
  <c r="J177" i="1"/>
  <c r="K177" i="1"/>
  <c r="I178" i="1"/>
  <c r="K178" i="1" s="1"/>
  <c r="J178" i="1"/>
  <c r="I179" i="1"/>
  <c r="J179" i="1"/>
  <c r="K179" i="1"/>
  <c r="I180" i="1"/>
  <c r="J180" i="1"/>
  <c r="K180" i="1"/>
  <c r="I181" i="1"/>
  <c r="J181" i="1"/>
  <c r="K181" i="1"/>
  <c r="I182" i="1"/>
  <c r="J182" i="1"/>
  <c r="K182" i="1"/>
  <c r="I183" i="1"/>
  <c r="J183" i="1"/>
  <c r="K183" i="1"/>
  <c r="I184" i="1"/>
  <c r="J184" i="1"/>
  <c r="K184" i="1"/>
  <c r="I185" i="1"/>
  <c r="J185" i="1"/>
  <c r="K185" i="1"/>
  <c r="I186" i="1"/>
  <c r="J186" i="1"/>
  <c r="K186" i="1"/>
  <c r="I187" i="1"/>
  <c r="J187" i="1"/>
  <c r="K187" i="1"/>
  <c r="I188" i="1"/>
  <c r="K188" i="1" s="1"/>
  <c r="J188" i="1"/>
  <c r="I189" i="1"/>
  <c r="J189" i="1"/>
  <c r="K189" i="1"/>
  <c r="I190" i="1"/>
  <c r="J190" i="1"/>
  <c r="K190" i="1"/>
  <c r="I191" i="1"/>
  <c r="J191" i="1"/>
  <c r="K191" i="1"/>
  <c r="I192" i="1"/>
  <c r="J192" i="1"/>
  <c r="I200" i="1"/>
  <c r="K200" i="1"/>
  <c r="I201" i="1"/>
  <c r="K201" i="1"/>
  <c r="I205" i="1"/>
  <c r="K205" i="1"/>
  <c r="L207" i="1"/>
  <c r="M207" i="1"/>
  <c r="I209" i="1"/>
  <c r="I215" i="1" s="1"/>
  <c r="M215" i="1"/>
  <c r="O215" i="1"/>
  <c r="Q215" i="1"/>
  <c r="O217" i="1"/>
  <c r="I217" i="1" s="1"/>
  <c r="I218" i="1"/>
  <c r="I219" i="1"/>
  <c r="O220" i="1"/>
  <c r="I220" i="1" s="1"/>
  <c r="K221" i="1"/>
  <c r="M221" i="1"/>
  <c r="O221" i="1"/>
  <c r="Q221" i="1"/>
  <c r="I226" i="1"/>
  <c r="K226" i="1"/>
  <c r="O226" i="1"/>
  <c r="I228" i="1"/>
  <c r="I229" i="1"/>
  <c r="I230" i="1"/>
  <c r="K231" i="1"/>
  <c r="M231" i="1"/>
  <c r="O231" i="1"/>
  <c r="Q231" i="1"/>
  <c r="G233" i="1"/>
  <c r="I233" i="1"/>
  <c r="G234" i="1"/>
  <c r="I234" i="1"/>
  <c r="G235" i="1"/>
  <c r="I235" i="1"/>
  <c r="G236" i="1"/>
  <c r="I236" i="1"/>
  <c r="G237" i="1"/>
  <c r="I237" i="1"/>
  <c r="G238" i="1"/>
  <c r="I238" i="1"/>
  <c r="G239" i="1"/>
  <c r="I239" i="1"/>
  <c r="G240" i="1"/>
  <c r="I240" i="1"/>
  <c r="G241" i="1"/>
  <c r="I241" i="1"/>
  <c r="G242" i="1"/>
  <c r="I242" i="1"/>
  <c r="M243" i="1"/>
  <c r="O243" i="1"/>
  <c r="Q243" i="1"/>
  <c r="I245" i="1"/>
  <c r="N246" i="1"/>
  <c r="G246" i="1" s="1"/>
  <c r="O246" i="1"/>
  <c r="I246" i="1" s="1"/>
  <c r="I247" i="1"/>
  <c r="I248" i="1"/>
  <c r="I249" i="1"/>
  <c r="I250" i="1"/>
  <c r="I251" i="1"/>
  <c r="I252" i="1"/>
  <c r="N253" i="1"/>
  <c r="O253" i="1"/>
  <c r="I253" i="1" s="1"/>
  <c r="I254" i="1"/>
  <c r="I255" i="1"/>
  <c r="I256" i="1"/>
  <c r="I257" i="1"/>
  <c r="I258" i="1"/>
  <c r="I259" i="1"/>
  <c r="I260" i="1"/>
  <c r="I261" i="1"/>
  <c r="I262" i="1"/>
  <c r="N263" i="1"/>
  <c r="O263" i="1"/>
  <c r="I263" i="1" s="1"/>
  <c r="I264" i="1"/>
  <c r="I265" i="1"/>
  <c r="I266" i="1"/>
  <c r="I267" i="1"/>
  <c r="O268" i="1"/>
  <c r="I268" i="1" s="1"/>
  <c r="I269" i="1"/>
  <c r="I270" i="1"/>
  <c r="I271" i="1"/>
  <c r="I272" i="1"/>
  <c r="I273" i="1"/>
  <c r="I274" i="1"/>
  <c r="I275" i="1"/>
  <c r="I276" i="1"/>
  <c r="I277" i="1"/>
  <c r="I278" i="1"/>
  <c r="I279" i="1"/>
  <c r="G280" i="1"/>
  <c r="I280" i="1"/>
  <c r="G281" i="1"/>
  <c r="I281" i="1"/>
  <c r="G282" i="1"/>
  <c r="I282" i="1"/>
  <c r="G283" i="1"/>
  <c r="I283" i="1"/>
  <c r="G284" i="1"/>
  <c r="I284" i="1"/>
  <c r="G285" i="1"/>
  <c r="I285" i="1"/>
  <c r="N286" i="1"/>
  <c r="G286" i="1"/>
  <c r="O286" i="1"/>
  <c r="I286" i="1"/>
  <c r="G287" i="1"/>
  <c r="I287" i="1"/>
  <c r="G288" i="1"/>
  <c r="I288" i="1"/>
  <c r="G289" i="1"/>
  <c r="I289" i="1"/>
  <c r="G290" i="1"/>
  <c r="I290" i="1"/>
  <c r="G291" i="1"/>
  <c r="I291" i="1"/>
  <c r="K292" i="1"/>
  <c r="M292" i="1"/>
  <c r="Q292" i="1"/>
  <c r="G297" i="1"/>
  <c r="H297" i="1"/>
  <c r="I297" i="1"/>
  <c r="Q301" i="1"/>
  <c r="Q317" i="1" s="1"/>
  <c r="I317" i="1"/>
  <c r="K317" i="1"/>
  <c r="M317" i="1"/>
  <c r="O317" i="1"/>
  <c r="I319" i="1"/>
  <c r="P319" i="1"/>
  <c r="Q319" i="1"/>
  <c r="I320" i="1"/>
  <c r="K320" i="1"/>
  <c r="M320" i="1"/>
  <c r="P320" i="1"/>
  <c r="I321" i="1"/>
  <c r="P321" i="1"/>
  <c r="Q321" i="1"/>
  <c r="I322" i="1"/>
  <c r="M322" i="1"/>
  <c r="O322" i="1"/>
  <c r="P322" i="1"/>
  <c r="I323" i="1"/>
  <c r="P323" i="1"/>
  <c r="Q323" i="1"/>
  <c r="I324" i="1"/>
  <c r="P324" i="1"/>
  <c r="Q324" i="1"/>
  <c r="I325" i="1"/>
  <c r="M325" i="1"/>
  <c r="P325" i="1"/>
  <c r="I326" i="1"/>
  <c r="K326" i="1"/>
  <c r="M326" i="1"/>
  <c r="O326" i="1"/>
  <c r="P326" i="1"/>
  <c r="I327" i="1"/>
  <c r="P327" i="1"/>
  <c r="Q327" i="1"/>
  <c r="I328" i="1"/>
  <c r="P328" i="1"/>
  <c r="Q328" i="1"/>
  <c r="I329" i="1"/>
  <c r="M329" i="1"/>
  <c r="P329" i="1"/>
  <c r="I330" i="1"/>
  <c r="M330" i="1"/>
  <c r="P330" i="1"/>
  <c r="I331" i="1"/>
  <c r="M331" i="1"/>
  <c r="P331" i="1"/>
  <c r="I332" i="1"/>
  <c r="P332" i="1"/>
  <c r="Q332" i="1"/>
  <c r="I333" i="1"/>
  <c r="P333" i="1"/>
  <c r="Q333" i="1"/>
  <c r="I334" i="1"/>
  <c r="P334" i="1"/>
  <c r="Q334" i="1"/>
  <c r="I335" i="1"/>
  <c r="Q335" i="1" s="1"/>
  <c r="P335" i="1"/>
  <c r="I336" i="1"/>
  <c r="M336" i="1"/>
  <c r="P336" i="1"/>
  <c r="I337" i="1"/>
  <c r="P337" i="1"/>
  <c r="Q337" i="1"/>
  <c r="I338" i="1"/>
  <c r="P338" i="1"/>
  <c r="Q338" i="1"/>
  <c r="I339" i="1"/>
  <c r="Q339" i="1" s="1"/>
  <c r="P339" i="1"/>
  <c r="I340" i="1"/>
  <c r="M340" i="1"/>
  <c r="P340" i="1"/>
  <c r="I341" i="1"/>
  <c r="M341" i="1"/>
  <c r="P341" i="1"/>
  <c r="I342" i="1"/>
  <c r="M342" i="1"/>
  <c r="P342" i="1"/>
  <c r="I343" i="1"/>
  <c r="M343" i="1"/>
  <c r="P343" i="1"/>
  <c r="I344" i="1"/>
  <c r="P344" i="1"/>
  <c r="Q344" i="1"/>
  <c r="I345" i="1"/>
  <c r="K345" i="1"/>
  <c r="M345" i="1"/>
  <c r="O345" i="1"/>
  <c r="P345" i="1"/>
  <c r="I346" i="1"/>
  <c r="P346" i="1"/>
  <c r="Q346" i="1"/>
  <c r="I347" i="1"/>
  <c r="P347" i="1"/>
  <c r="Q347" i="1"/>
  <c r="I348" i="1"/>
  <c r="P348" i="1"/>
  <c r="Q348" i="1"/>
  <c r="I349" i="1"/>
  <c r="Q349" i="1" s="1"/>
  <c r="P349" i="1"/>
  <c r="I350" i="1"/>
  <c r="K350" i="1"/>
  <c r="M350" i="1"/>
  <c r="P350" i="1"/>
  <c r="I351" i="1"/>
  <c r="M351" i="1"/>
  <c r="P351" i="1"/>
  <c r="I352" i="1"/>
  <c r="M352" i="1"/>
  <c r="P352" i="1"/>
  <c r="I353" i="1"/>
  <c r="P353" i="1"/>
  <c r="Q353" i="1"/>
  <c r="I354" i="1"/>
  <c r="M354" i="1"/>
  <c r="O354" i="1"/>
  <c r="P354" i="1"/>
  <c r="I355" i="1"/>
  <c r="Q355" i="1" s="1"/>
  <c r="P355" i="1"/>
  <c r="I356" i="1"/>
  <c r="P356" i="1"/>
  <c r="Q356" i="1"/>
  <c r="I357" i="1"/>
  <c r="P357" i="1"/>
  <c r="Q357" i="1"/>
  <c r="I358" i="1"/>
  <c r="M358" i="1"/>
  <c r="P358" i="1"/>
  <c r="I359" i="1"/>
  <c r="M359" i="1"/>
  <c r="P359" i="1"/>
  <c r="I360" i="1"/>
  <c r="P360" i="1"/>
  <c r="Q360" i="1"/>
  <c r="I361" i="1"/>
  <c r="Q361" i="1" s="1"/>
  <c r="P361" i="1"/>
  <c r="I362" i="1"/>
  <c r="P362" i="1"/>
  <c r="Q362" i="1"/>
  <c r="I363" i="1"/>
  <c r="M363" i="1"/>
  <c r="P363" i="1"/>
  <c r="I364" i="1"/>
  <c r="P364" i="1"/>
  <c r="Q364" i="1"/>
  <c r="I365" i="1"/>
  <c r="O365" i="1"/>
  <c r="P365" i="1"/>
  <c r="I366" i="1"/>
  <c r="P366" i="1"/>
  <c r="Q366" i="1"/>
  <c r="I367" i="1"/>
  <c r="P367" i="1"/>
  <c r="Q367" i="1"/>
  <c r="I368" i="1"/>
  <c r="P368" i="1"/>
  <c r="Q368" i="1"/>
  <c r="I369" i="1"/>
  <c r="M369" i="1"/>
  <c r="P369" i="1"/>
  <c r="I370" i="1"/>
  <c r="M370" i="1"/>
  <c r="P370" i="1"/>
  <c r="I371" i="1"/>
  <c r="M371" i="1"/>
  <c r="P371" i="1"/>
  <c r="I372" i="1"/>
  <c r="M372" i="1"/>
  <c r="P372" i="1"/>
  <c r="I373" i="1"/>
  <c r="M373" i="1"/>
  <c r="P373" i="1"/>
  <c r="I374" i="1"/>
  <c r="M374" i="1"/>
  <c r="O374" i="1"/>
  <c r="P374" i="1"/>
  <c r="I375" i="1"/>
  <c r="P375" i="1"/>
  <c r="Q375" i="1"/>
  <c r="I376" i="1"/>
  <c r="Q376" i="1" s="1"/>
  <c r="P376" i="1"/>
  <c r="I377" i="1"/>
  <c r="P377" i="1"/>
  <c r="Q377" i="1"/>
  <c r="I378" i="1"/>
  <c r="P378" i="1"/>
  <c r="Q378" i="1"/>
  <c r="I379" i="1"/>
  <c r="O379" i="1"/>
  <c r="P379" i="1"/>
  <c r="I380" i="1"/>
  <c r="Q380" i="1" s="1"/>
  <c r="P380" i="1"/>
  <c r="I381" i="1"/>
  <c r="P381" i="1"/>
  <c r="Q381" i="1"/>
  <c r="I382" i="1"/>
  <c r="M382" i="1"/>
  <c r="P382" i="1"/>
  <c r="I383" i="1"/>
  <c r="M383" i="1"/>
  <c r="O383" i="1"/>
  <c r="P383" i="1"/>
  <c r="I384" i="1"/>
  <c r="P384" i="1"/>
  <c r="Q384" i="1"/>
  <c r="I385" i="1"/>
  <c r="M385" i="1"/>
  <c r="P385" i="1"/>
  <c r="I386" i="1"/>
  <c r="P386" i="1"/>
  <c r="Q386" i="1"/>
  <c r="I387" i="1"/>
  <c r="M387" i="1"/>
  <c r="P387" i="1"/>
  <c r="I388" i="1"/>
  <c r="M388" i="1"/>
  <c r="P388" i="1"/>
  <c r="I389" i="1"/>
  <c r="M389" i="1"/>
  <c r="P389" i="1"/>
  <c r="I390" i="1"/>
  <c r="O390" i="1"/>
  <c r="P390" i="1"/>
  <c r="I391" i="1"/>
  <c r="M391" i="1"/>
  <c r="O391" i="1"/>
  <c r="P391" i="1"/>
  <c r="I392" i="1"/>
  <c r="O392" i="1"/>
  <c r="P392" i="1"/>
  <c r="I393" i="1"/>
  <c r="O393" i="1"/>
  <c r="P393" i="1"/>
  <c r="I394" i="1"/>
  <c r="Q394" i="1" s="1"/>
  <c r="P394" i="1"/>
  <c r="I395" i="1"/>
  <c r="P395" i="1"/>
  <c r="Q395" i="1"/>
  <c r="I396" i="1"/>
  <c r="P396" i="1"/>
  <c r="Q396" i="1"/>
  <c r="I397" i="1"/>
  <c r="P397" i="1"/>
  <c r="Q397" i="1"/>
  <c r="I398" i="1"/>
  <c r="Q398" i="1" s="1"/>
  <c r="P398" i="1"/>
  <c r="I399" i="1"/>
  <c r="P399" i="1"/>
  <c r="Q399" i="1"/>
  <c r="I400" i="1"/>
  <c r="O400" i="1"/>
  <c r="P400" i="1"/>
  <c r="I401" i="1"/>
  <c r="O401" i="1"/>
  <c r="P401" i="1"/>
  <c r="I402" i="1"/>
  <c r="O402" i="1"/>
  <c r="P402" i="1"/>
  <c r="I403" i="1"/>
  <c r="P403" i="1"/>
  <c r="Q403" i="1"/>
  <c r="I404" i="1"/>
  <c r="M404" i="1"/>
  <c r="P404" i="1"/>
  <c r="I405" i="1"/>
  <c r="P405" i="1"/>
  <c r="Q405" i="1"/>
  <c r="I406" i="1"/>
  <c r="P406" i="1"/>
  <c r="Q406" i="1"/>
  <c r="O408" i="1"/>
  <c r="I415" i="1"/>
  <c r="I416" i="1" s="1"/>
  <c r="M416" i="1"/>
  <c r="O416" i="1"/>
  <c r="Q416" i="1"/>
  <c r="L418" i="1"/>
  <c r="M418" i="1"/>
  <c r="I418" i="1" s="1"/>
  <c r="L49" i="3"/>
  <c r="L50" i="3"/>
  <c r="L51" i="3"/>
  <c r="L52" i="3"/>
  <c r="L53" i="3"/>
  <c r="L55" i="3"/>
  <c r="L57" i="3"/>
  <c r="L58" i="3"/>
  <c r="L59" i="3"/>
  <c r="L60" i="3"/>
  <c r="L62" i="3"/>
  <c r="L63" i="3"/>
  <c r="L64" i="3"/>
  <c r="L65" i="3"/>
  <c r="L66" i="3"/>
  <c r="L67" i="3"/>
  <c r="L68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4" i="3"/>
  <c r="L85" i="3"/>
  <c r="L86" i="3"/>
  <c r="L87" i="3"/>
  <c r="L88" i="3"/>
  <c r="L89" i="3"/>
  <c r="L90" i="3"/>
  <c r="L91" i="3"/>
  <c r="L93" i="3"/>
  <c r="L94" i="3"/>
  <c r="L95" i="3"/>
  <c r="L96" i="3"/>
  <c r="L97" i="3"/>
  <c r="L98" i="3"/>
  <c r="L99" i="3"/>
  <c r="L100" i="3"/>
  <c r="L101" i="3"/>
  <c r="L102" i="3"/>
  <c r="L103" i="3"/>
  <c r="L104" i="3"/>
  <c r="L105" i="3"/>
  <c r="L106" i="3"/>
  <c r="L107" i="3"/>
  <c r="L108" i="3"/>
  <c r="L109" i="3"/>
  <c r="L110" i="3"/>
  <c r="L111" i="3"/>
  <c r="L112" i="3"/>
  <c r="L113" i="3"/>
  <c r="L115" i="3"/>
  <c r="L116" i="3"/>
  <c r="L117" i="3"/>
  <c r="L118" i="3"/>
  <c r="L119" i="3"/>
  <c r="L121" i="3"/>
  <c r="L122" i="3"/>
  <c r="L123" i="3"/>
  <c r="L124" i="3"/>
  <c r="L125" i="3"/>
  <c r="L126" i="3"/>
  <c r="L127" i="3"/>
  <c r="L128" i="3"/>
  <c r="L129" i="3"/>
  <c r="L130" i="3"/>
  <c r="L131" i="3"/>
  <c r="L132" i="3"/>
  <c r="L133" i="3"/>
  <c r="L136" i="3"/>
  <c r="L137" i="3"/>
  <c r="L138" i="3"/>
  <c r="L139" i="3"/>
  <c r="L140" i="3"/>
  <c r="L141" i="3"/>
  <c r="L142" i="3"/>
  <c r="L143" i="3"/>
  <c r="L144" i="3"/>
  <c r="L145" i="3"/>
  <c r="L148" i="3"/>
  <c r="L149" i="3"/>
  <c r="L150" i="3"/>
  <c r="L152" i="3"/>
  <c r="L153" i="3"/>
  <c r="L154" i="3"/>
  <c r="L155" i="3"/>
  <c r="L156" i="3"/>
  <c r="L157" i="3"/>
  <c r="L158" i="3"/>
  <c r="L159" i="3"/>
  <c r="L160" i="3"/>
  <c r="L161" i="3"/>
  <c r="L162" i="3"/>
  <c r="L163" i="3"/>
  <c r="L164" i="3"/>
  <c r="L165" i="3"/>
  <c r="L166" i="3"/>
  <c r="L167" i="3"/>
  <c r="L168" i="3"/>
  <c r="L169" i="3"/>
  <c r="L171" i="3"/>
  <c r="L173" i="3"/>
  <c r="L174" i="3"/>
  <c r="L175" i="3"/>
  <c r="L176" i="3"/>
  <c r="L177" i="3"/>
  <c r="L178" i="3"/>
  <c r="L179" i="3"/>
  <c r="L180" i="3"/>
  <c r="L182" i="3"/>
  <c r="L183" i="3"/>
  <c r="L184" i="3"/>
  <c r="L185" i="3"/>
  <c r="L186" i="3"/>
  <c r="L187" i="3"/>
  <c r="L188" i="3"/>
  <c r="L189" i="3"/>
  <c r="L190" i="3"/>
  <c r="L191" i="3"/>
  <c r="L192" i="3"/>
  <c r="L193" i="3"/>
  <c r="L194" i="3"/>
  <c r="L195" i="3"/>
  <c r="L196" i="3"/>
  <c r="L197" i="3"/>
  <c r="L198" i="3"/>
  <c r="L200" i="3"/>
  <c r="L201" i="3"/>
  <c r="L202" i="3"/>
  <c r="L203" i="3"/>
  <c r="L204" i="3"/>
  <c r="L205" i="3"/>
  <c r="L206" i="3"/>
  <c r="L207" i="3"/>
  <c r="L208" i="3"/>
  <c r="L209" i="3"/>
  <c r="L211" i="3"/>
  <c r="L212" i="3"/>
  <c r="L213" i="3"/>
  <c r="L214" i="3"/>
  <c r="L215" i="3"/>
  <c r="L216" i="3"/>
  <c r="L217" i="3"/>
  <c r="L218" i="3"/>
  <c r="L220" i="3"/>
  <c r="L221" i="3"/>
  <c r="L222" i="3"/>
  <c r="L223" i="3"/>
  <c r="L225" i="3"/>
  <c r="L226" i="3"/>
  <c r="L227" i="3"/>
  <c r="L229" i="3"/>
  <c r="L230" i="3"/>
  <c r="L231" i="3"/>
  <c r="L233" i="3"/>
  <c r="L234" i="3"/>
  <c r="L235" i="3"/>
  <c r="L236" i="3"/>
  <c r="L237" i="3"/>
  <c r="L238" i="3"/>
  <c r="L239" i="3"/>
  <c r="L240" i="3"/>
  <c r="L241" i="3"/>
  <c r="L242" i="3"/>
  <c r="L244" i="3"/>
  <c r="L245" i="3"/>
  <c r="L246" i="3"/>
  <c r="L247" i="3"/>
  <c r="L248" i="3"/>
  <c r="L249" i="3"/>
  <c r="L250" i="3"/>
  <c r="L251" i="3"/>
  <c r="L252" i="3"/>
  <c r="L253" i="3"/>
  <c r="L254" i="3"/>
  <c r="L255" i="3"/>
  <c r="L256" i="3"/>
  <c r="L257" i="3"/>
  <c r="L258" i="3"/>
  <c r="L259" i="3"/>
  <c r="L260" i="3"/>
  <c r="L261" i="3"/>
  <c r="L262" i="3"/>
  <c r="L263" i="3"/>
  <c r="L264" i="3"/>
  <c r="L265" i="3"/>
  <c r="L266" i="3"/>
  <c r="L267" i="3"/>
  <c r="L268" i="3"/>
  <c r="L269" i="3"/>
  <c r="L270" i="3"/>
  <c r="L271" i="3"/>
  <c r="L272" i="3"/>
  <c r="L273" i="3"/>
  <c r="L274" i="3"/>
  <c r="L275" i="3"/>
  <c r="L276" i="3"/>
  <c r="L277" i="3"/>
  <c r="L278" i="3"/>
  <c r="L279" i="3"/>
  <c r="L280" i="3"/>
  <c r="L281" i="3"/>
  <c r="L282" i="3"/>
  <c r="L283" i="3"/>
  <c r="L284" i="3"/>
  <c r="L285" i="3"/>
  <c r="L286" i="3"/>
  <c r="L287" i="3"/>
  <c r="L288" i="3"/>
  <c r="L289" i="3"/>
  <c r="L290" i="3"/>
  <c r="H291" i="3"/>
  <c r="L291" i="3"/>
  <c r="H292" i="3"/>
  <c r="L292" i="3"/>
  <c r="H293" i="3"/>
  <c r="L293" i="3"/>
  <c r="H294" i="3"/>
  <c r="L294" i="3"/>
  <c r="H295" i="3"/>
  <c r="L295" i="3"/>
  <c r="H296" i="3"/>
  <c r="L296" i="3"/>
  <c r="L298" i="3"/>
  <c r="H299" i="3"/>
  <c r="L299" i="3"/>
  <c r="H300" i="3"/>
  <c r="L300" i="3"/>
  <c r="H301" i="3"/>
  <c r="L301" i="3"/>
  <c r="H302" i="3"/>
  <c r="L302" i="3"/>
  <c r="L303" i="3"/>
  <c r="L304" i="3"/>
  <c r="L305" i="3"/>
  <c r="L306" i="3"/>
  <c r="L307" i="3"/>
  <c r="L308" i="3"/>
  <c r="L309" i="3"/>
  <c r="L310" i="3"/>
  <c r="L311" i="3"/>
  <c r="L312" i="3"/>
  <c r="L313" i="3"/>
  <c r="L314" i="3"/>
  <c r="L315" i="3"/>
  <c r="H316" i="3"/>
  <c r="L316" i="3"/>
  <c r="H317" i="3"/>
  <c r="L317" i="3"/>
  <c r="L318" i="3"/>
  <c r="L319" i="3"/>
  <c r="L320" i="3"/>
  <c r="L321" i="3"/>
  <c r="L322" i="3"/>
  <c r="L324" i="3"/>
  <c r="L325" i="3"/>
  <c r="L326" i="3"/>
  <c r="L327" i="3"/>
  <c r="L328" i="3"/>
  <c r="L329" i="3"/>
  <c r="L330" i="3"/>
  <c r="L331" i="3"/>
  <c r="L332" i="3"/>
  <c r="L333" i="3"/>
  <c r="L334" i="3"/>
  <c r="L335" i="3"/>
  <c r="L336" i="3"/>
  <c r="L337" i="3"/>
  <c r="L338" i="3"/>
  <c r="L339" i="3"/>
  <c r="L340" i="3"/>
  <c r="L341" i="3"/>
  <c r="L342" i="3"/>
  <c r="L343" i="3"/>
  <c r="L344" i="3"/>
  <c r="L345" i="3"/>
  <c r="L346" i="3"/>
  <c r="L347" i="3"/>
  <c r="L348" i="3"/>
  <c r="L349" i="3"/>
  <c r="L350" i="3"/>
  <c r="L351" i="3"/>
  <c r="L352" i="3"/>
  <c r="L353" i="3"/>
  <c r="L354" i="3"/>
  <c r="L355" i="3"/>
  <c r="L356" i="3"/>
  <c r="L357" i="3"/>
  <c r="L358" i="3"/>
  <c r="L359" i="3"/>
  <c r="L360" i="3"/>
  <c r="L361" i="3"/>
  <c r="L362" i="3"/>
  <c r="L363" i="3"/>
  <c r="L364" i="3"/>
  <c r="L365" i="3"/>
  <c r="L366" i="3"/>
  <c r="L367" i="3"/>
  <c r="L368" i="3"/>
  <c r="L369" i="3"/>
  <c r="L370" i="3"/>
  <c r="L371" i="3"/>
  <c r="L372" i="3"/>
  <c r="L373" i="3"/>
  <c r="L374" i="3"/>
  <c r="L375" i="3"/>
  <c r="L376" i="3"/>
  <c r="L377" i="3"/>
  <c r="L378" i="3"/>
  <c r="L379" i="3"/>
  <c r="L380" i="3"/>
  <c r="L381" i="3"/>
  <c r="L382" i="3"/>
  <c r="L383" i="3"/>
  <c r="L384" i="3"/>
  <c r="L385" i="3"/>
  <c r="L386" i="3"/>
  <c r="L387" i="3"/>
  <c r="L388" i="3"/>
  <c r="L389" i="3"/>
  <c r="L390" i="3"/>
  <c r="L391" i="3"/>
  <c r="L392" i="3"/>
  <c r="L393" i="3"/>
  <c r="L394" i="3"/>
  <c r="L395" i="3"/>
  <c r="L396" i="3"/>
  <c r="L397" i="3"/>
  <c r="L398" i="3"/>
  <c r="L399" i="3"/>
  <c r="L400" i="3"/>
  <c r="L401" i="3"/>
  <c r="L402" i="3"/>
  <c r="L403" i="3"/>
  <c r="L404" i="3"/>
  <c r="L405" i="3"/>
  <c r="L406" i="3"/>
  <c r="L407" i="3"/>
  <c r="L408" i="3"/>
  <c r="L409" i="3"/>
  <c r="L410" i="3"/>
  <c r="L411" i="3"/>
  <c r="L412" i="3"/>
  <c r="L414" i="3"/>
  <c r="L415" i="3"/>
  <c r="L416" i="3"/>
  <c r="L417" i="3"/>
  <c r="L418" i="3"/>
  <c r="L419" i="3"/>
  <c r="Z32" i="5"/>
  <c r="U143" i="5" l="1"/>
  <c r="Z232" i="3"/>
  <c r="W120" i="3"/>
  <c r="W421" i="3" s="1"/>
  <c r="V120" i="3"/>
  <c r="K37" i="5"/>
  <c r="Z37" i="5" s="1"/>
  <c r="Z139" i="5"/>
  <c r="Z58" i="5"/>
  <c r="S143" i="5"/>
  <c r="Y23" i="5"/>
  <c r="K408" i="1"/>
  <c r="Z224" i="3"/>
  <c r="Z210" i="3"/>
  <c r="Z43" i="5"/>
  <c r="Y43" i="5"/>
  <c r="Y33" i="5"/>
  <c r="I243" i="1"/>
  <c r="I59" i="1"/>
  <c r="I34" i="1"/>
  <c r="L146" i="3"/>
  <c r="Z219" i="3"/>
  <c r="Q135" i="3"/>
  <c r="Q421" i="3" s="1"/>
  <c r="Z130" i="3"/>
  <c r="Z120" i="3"/>
  <c r="Z116" i="3"/>
  <c r="Z32" i="3"/>
  <c r="K34" i="3"/>
  <c r="Z34" i="3" s="1"/>
  <c r="K26" i="5"/>
  <c r="Z26" i="5" s="1"/>
  <c r="Z23" i="5"/>
  <c r="Z33" i="5"/>
  <c r="Z20" i="5"/>
  <c r="Y37" i="5"/>
  <c r="L54" i="5"/>
  <c r="Z54" i="5"/>
  <c r="K53" i="5"/>
  <c r="Q143" i="5"/>
  <c r="Z61" i="3"/>
  <c r="L61" i="3"/>
  <c r="Q404" i="1"/>
  <c r="Q389" i="1"/>
  <c r="Q387" i="1"/>
  <c r="Q383" i="1"/>
  <c r="Q373" i="1"/>
  <c r="Q371" i="1"/>
  <c r="Q369" i="1"/>
  <c r="Q363" i="1"/>
  <c r="Q352" i="1"/>
  <c r="Q350" i="1"/>
  <c r="Q343" i="1"/>
  <c r="Q341" i="1"/>
  <c r="O292" i="1"/>
  <c r="O127" i="1"/>
  <c r="I107" i="1"/>
  <c r="Z413" i="3"/>
  <c r="Z323" i="3"/>
  <c r="Z199" i="3"/>
  <c r="L41" i="5"/>
  <c r="Y141" i="5"/>
  <c r="Y58" i="5"/>
  <c r="I174" i="1"/>
  <c r="I193" i="1"/>
  <c r="K192" i="1"/>
  <c r="K193" i="1" s="1"/>
  <c r="K172" i="1"/>
  <c r="K174" i="1" s="1"/>
  <c r="I114" i="1"/>
  <c r="I164" i="1"/>
  <c r="K164" i="1"/>
  <c r="Z44" i="3"/>
  <c r="Q390" i="1"/>
  <c r="Q388" i="1"/>
  <c r="Q372" i="1"/>
  <c r="Q370" i="1"/>
  <c r="Q354" i="1"/>
  <c r="Q351" i="1"/>
  <c r="Q342" i="1"/>
  <c r="Q340" i="1"/>
  <c r="I143" i="1"/>
  <c r="Z23" i="3"/>
  <c r="W55" i="5"/>
  <c r="W53" i="5" s="1"/>
  <c r="W143" i="5" s="1"/>
  <c r="Q402" i="1"/>
  <c r="Q401" i="1"/>
  <c r="Q400" i="1"/>
  <c r="Q393" i="1"/>
  <c r="Q392" i="1"/>
  <c r="Q391" i="1"/>
  <c r="Q385" i="1"/>
  <c r="Q382" i="1"/>
  <c r="Q379" i="1"/>
  <c r="Q374" i="1"/>
  <c r="Q365" i="1"/>
  <c r="Q359" i="1"/>
  <c r="Q358" i="1"/>
  <c r="Q345" i="1"/>
  <c r="Q336" i="1"/>
  <c r="Q331" i="1"/>
  <c r="Q330" i="1"/>
  <c r="Q329" i="1"/>
  <c r="Q326" i="1"/>
  <c r="Q325" i="1"/>
  <c r="Q322" i="1"/>
  <c r="Q320" i="1"/>
  <c r="I231" i="1"/>
  <c r="I221" i="1"/>
  <c r="I127" i="1"/>
  <c r="G43" i="1"/>
  <c r="P135" i="3"/>
  <c r="K297" i="3"/>
  <c r="Z297" i="3" s="1"/>
  <c r="K243" i="3"/>
  <c r="Z243" i="3" s="1"/>
  <c r="Z228" i="3"/>
  <c r="Z181" i="3"/>
  <c r="Z172" i="3"/>
  <c r="Z114" i="3"/>
  <c r="Z92" i="3"/>
  <c r="Z83" i="3"/>
  <c r="Z69" i="3"/>
  <c r="Z56" i="3"/>
  <c r="Z48" i="3"/>
  <c r="Z26" i="3"/>
  <c r="K135" i="3"/>
  <c r="Z135" i="3" s="1"/>
  <c r="K68" i="5"/>
  <c r="Z68" i="5" s="1"/>
  <c r="Y26" i="5"/>
  <c r="Y20" i="5"/>
  <c r="I292" i="1"/>
  <c r="M408" i="1"/>
  <c r="M420" i="1" s="1"/>
  <c r="I408" i="1"/>
  <c r="Z40" i="5"/>
  <c r="Q408" i="1" l="1"/>
  <c r="Q420" i="1" s="1"/>
  <c r="K143" i="5"/>
  <c r="Z55" i="5"/>
  <c r="O420" i="1"/>
  <c r="I420" i="1"/>
  <c r="K420" i="1"/>
  <c r="Z143" i="5"/>
  <c r="Z53" i="5"/>
  <c r="K421" i="3"/>
  <c r="Z421" i="3" s="1"/>
</calcChain>
</file>

<file path=xl/comments1.xml><?xml version="1.0" encoding="utf-8"?>
<comments xmlns="http://schemas.openxmlformats.org/spreadsheetml/2006/main">
  <authors>
    <author>User-ЭКОН-02</author>
  </authors>
  <commentList>
    <comment ref="D352" authorId="0" shapeId="0">
      <text>
        <r>
          <rPr>
            <b/>
            <sz val="8"/>
            <color indexed="81"/>
            <rFont val="Tahoma"/>
            <family val="2"/>
            <charset val="204"/>
          </rPr>
          <t>User-ЭКОН-02:</t>
        </r>
        <r>
          <rPr>
            <sz val="8"/>
            <color indexed="81"/>
            <rFont val="Tahoma"/>
            <family val="2"/>
            <charset val="204"/>
          </rPr>
          <t xml:space="preserve">
исключить</t>
        </r>
      </text>
    </comment>
  </commentList>
</comments>
</file>

<file path=xl/comments2.xml><?xml version="1.0" encoding="utf-8"?>
<comments xmlns="http://schemas.openxmlformats.org/spreadsheetml/2006/main">
  <authors>
    <author>User-ЭКОН-02</author>
  </authors>
  <commentList>
    <comment ref="D294" authorId="0" shapeId="0">
      <text>
        <r>
          <rPr>
            <b/>
            <sz val="8"/>
            <color indexed="81"/>
            <rFont val="Tahoma"/>
            <family val="2"/>
            <charset val="204"/>
          </rPr>
          <t>User-ЭКОН-02:</t>
        </r>
        <r>
          <rPr>
            <sz val="8"/>
            <color indexed="81"/>
            <rFont val="Tahoma"/>
            <family val="2"/>
            <charset val="204"/>
          </rPr>
          <t xml:space="preserve">
исключить</t>
        </r>
      </text>
    </comment>
  </commentList>
</comments>
</file>

<file path=xl/sharedStrings.xml><?xml version="1.0" encoding="utf-8"?>
<sst xmlns="http://schemas.openxmlformats.org/spreadsheetml/2006/main" count="6628" uniqueCount="748">
  <si>
    <t xml:space="preserve">      План-график закупок ГУП РС(Я) "РЦТИ" на 2012 г.</t>
  </si>
  <si>
    <r>
      <t>№ лота</t>
    </r>
    <r>
      <rPr>
        <b/>
        <vertAlign val="superscript"/>
        <sz val="11"/>
        <rFont val="Times New Roman"/>
        <family val="1"/>
        <charset val="204"/>
      </rPr>
      <t>1)</t>
    </r>
  </si>
  <si>
    <r>
      <t>Статус размещения заказа</t>
    </r>
    <r>
      <rPr>
        <b/>
        <vertAlign val="superscript"/>
        <sz val="11"/>
        <rFont val="Times New Roman"/>
        <family val="1"/>
        <charset val="204"/>
      </rPr>
      <t>2)</t>
    </r>
  </si>
  <si>
    <r>
      <t>Код способа размещения заказа</t>
    </r>
    <r>
      <rPr>
        <b/>
        <vertAlign val="superscript"/>
        <sz val="11"/>
        <rFont val="Times New Roman"/>
        <family val="1"/>
        <charset val="204"/>
      </rPr>
      <t>3)</t>
    </r>
  </si>
  <si>
    <t>№</t>
  </si>
  <si>
    <t xml:space="preserve">Наименование предмета </t>
  </si>
  <si>
    <t>Всего</t>
  </si>
  <si>
    <t xml:space="preserve"> I квартал 2012 г.</t>
  </si>
  <si>
    <t>II квартал 2012 г.</t>
  </si>
  <si>
    <t>III квартал 2012 г.</t>
  </si>
  <si>
    <t>IV квартал 2012 г.</t>
  </si>
  <si>
    <r>
      <t>Плановый срок исполнения контракта</t>
    </r>
    <r>
      <rPr>
        <b/>
        <vertAlign val="superscript"/>
        <sz val="11"/>
        <rFont val="Times New Roman"/>
        <family val="1"/>
        <charset val="204"/>
      </rPr>
      <t>7)</t>
    </r>
  </si>
  <si>
    <t>Единица измерения</t>
  </si>
  <si>
    <t>Объем закупки, ед.</t>
  </si>
  <si>
    <t>Ориентировочная начальная цена закупки, руб.</t>
  </si>
  <si>
    <t>Ориентировочная начальная цена закупки, тыс. руб.</t>
  </si>
  <si>
    <t>Оказание услуг по бронированию и продаже авиабилетов до населенных пунктов РС(Я) и обратно</t>
  </si>
  <si>
    <t>шт.</t>
  </si>
  <si>
    <t>Всего:</t>
  </si>
  <si>
    <t>Оказание услуг по бронированию и продаже авиабилетов до населенных пунктов за пределами РС(Я) и обратно</t>
  </si>
  <si>
    <t>Информационно-консультационные услуги:</t>
  </si>
  <si>
    <t xml:space="preserve">   Информационно-правовое обеспечение (г. Якутск, г. Мирный, г. Нерюнгри, г. Ленск, с. Амга), Консультант+Строительство</t>
  </si>
  <si>
    <t>мес.</t>
  </si>
  <si>
    <t xml:space="preserve">   Аудиторские услуги</t>
  </si>
  <si>
    <t>шт</t>
  </si>
  <si>
    <t xml:space="preserve">   Консультационные услуги по бух/учету</t>
  </si>
  <si>
    <t>Охрана имущества:</t>
  </si>
  <si>
    <t xml:space="preserve">   Здания Олекминского филиала, г. Олекминск, ул. Молодежная, 27</t>
  </si>
  <si>
    <t xml:space="preserve">   Здания Таттинского филиала, с. Ытык-Кюель, ул. Ленина, 25</t>
  </si>
  <si>
    <t xml:space="preserve">   Здания Усть-Майского филиала, п. Усть-Мая, ул. Пирогова, 20</t>
  </si>
  <si>
    <t xml:space="preserve">   Здания Мегино-Кангаласского филиала, с. Майя, ул. Сыроватского, 3</t>
  </si>
  <si>
    <t xml:space="preserve">   Здания Сунтарского филиала, с. Сунтар, ул. Ленина, 29</t>
  </si>
  <si>
    <t xml:space="preserve">   Здание Вилюйского филиала, г. Вилюйск, ул. Мира 66/2</t>
  </si>
  <si>
    <t xml:space="preserve">   Здание Ленского филиала, г. Ленск, ул. Ленина, 88</t>
  </si>
  <si>
    <t xml:space="preserve">   Здание Айхальского представительства, п. Айхал, ул. Юбилейная, 7</t>
  </si>
  <si>
    <t xml:space="preserve">   Здание Удачнинского представит., г. Удачный, ул. Новый Город,2/5</t>
  </si>
  <si>
    <t xml:space="preserve">   Здание Мирнинского филиала, г. Мирный, ул. Ленина, 11</t>
  </si>
  <si>
    <t xml:space="preserve">   Здание Нерюнгринского филиала, г. Нерюнгри, пр. Геологов, 77/2</t>
  </si>
  <si>
    <t xml:space="preserve">   Административное здание, г. Якутск, ул. Кирова, 28</t>
  </si>
  <si>
    <t>Монтаж охранно-пожарной сигнализации:</t>
  </si>
  <si>
    <t xml:space="preserve">   Здания Ленского филиала, г. Ленск, ул. Ленина, 88</t>
  </si>
  <si>
    <t>Услуги по заправке и восстановлению картриджей</t>
  </si>
  <si>
    <t>Ремонтные работы:</t>
  </si>
  <si>
    <t xml:space="preserve">   Капитальный ремонт здания Ленского филиала  (II этап) </t>
  </si>
  <si>
    <t xml:space="preserve">   Ремонт бойлера</t>
  </si>
  <si>
    <t xml:space="preserve">   Строительство туалета для Таттинского филиала</t>
  </si>
  <si>
    <t xml:space="preserve">   Ремонт кровли пристроя к административному зданию</t>
  </si>
  <si>
    <t xml:space="preserve">   Строительство туалета для Чурапчинского филиала </t>
  </si>
  <si>
    <t xml:space="preserve">   Замена входной двери в здании Усть-Майского филиала</t>
  </si>
  <si>
    <t xml:space="preserve">   Ремонт гаражей</t>
  </si>
  <si>
    <t xml:space="preserve">   Ремонт кровли здания Нерюнгринского филиала</t>
  </si>
  <si>
    <t xml:space="preserve">   Ремонт пола и электроосвещения в помещении Нюрбинского филиала</t>
  </si>
  <si>
    <t>Рекламно-коммерческая информация</t>
  </si>
  <si>
    <t xml:space="preserve">   Изготовление информационного стенда "Навигатор" для холла 1 этажа административного здания ГУП РЦТИ</t>
  </si>
  <si>
    <t xml:space="preserve">   Изготовление настольных табличек для совещаний</t>
  </si>
  <si>
    <t xml:space="preserve">   Изготовление рекламной продукции: буклеты, флаеры, постеры и др.</t>
  </si>
  <si>
    <t xml:space="preserve">   Участие в выставке для рекламирования услуг</t>
  </si>
  <si>
    <t xml:space="preserve">   Баннеры, рекламные щиты на центральных улицах г. Якутска</t>
  </si>
  <si>
    <t xml:space="preserve">   Реклама услуг предприятия в интернете Ykt.ru</t>
  </si>
  <si>
    <t xml:space="preserve">   Настенные квартальные календари на пружинах</t>
  </si>
  <si>
    <t xml:space="preserve">   Настольные календари "домики"</t>
  </si>
  <si>
    <t xml:space="preserve">   Открытки новогодние с конвертом заказные для ВИПов</t>
  </si>
  <si>
    <t xml:space="preserve">   Открытки простые с конвертами для новогодних поздравлений</t>
  </si>
  <si>
    <t xml:space="preserve">   Пакеты бумажные подарочные с логотопом</t>
  </si>
  <si>
    <t xml:space="preserve">   Дизайн-макет</t>
  </si>
  <si>
    <t xml:space="preserve">   Прочая сувенирная продукция</t>
  </si>
  <si>
    <t>Рекламно-коммерческая информация в печатных СМИ:</t>
  </si>
  <si>
    <t xml:space="preserve">   Газета "Якутск Вечерний"</t>
  </si>
  <si>
    <t xml:space="preserve">   Газета "Все для Вас"</t>
  </si>
  <si>
    <t xml:space="preserve">   Газета "Из рук в руки"</t>
  </si>
  <si>
    <t xml:space="preserve">   Газета "Якутия"</t>
  </si>
  <si>
    <t xml:space="preserve">   Журнал "Домострой"</t>
  </si>
  <si>
    <t xml:space="preserve">   Публикация статей в журналах, газетах к 85-летию БТИ России</t>
  </si>
  <si>
    <t xml:space="preserve">   Реклама  в СМИ (улусные издания)</t>
  </si>
  <si>
    <t xml:space="preserve">   Участие в эфирах ТВ, радио</t>
  </si>
  <si>
    <t>Подписка</t>
  </si>
  <si>
    <t xml:space="preserve">   Газета Якутия (с приложением "Якутские ведомости")</t>
  </si>
  <si>
    <t xml:space="preserve">   Газета Якутия (с приложением "Толстушка")</t>
  </si>
  <si>
    <t xml:space="preserve">   Газета "Эхо столицы"</t>
  </si>
  <si>
    <t xml:space="preserve">   Газета "Эхо столицы" ("Толстушка")</t>
  </si>
  <si>
    <t xml:space="preserve">   Газета "Реклама. Бизнес. ВДВ"</t>
  </si>
  <si>
    <t xml:space="preserve">   Справочник кадровика</t>
  </si>
  <si>
    <t xml:space="preserve">   Журнал "Вопросы севера"</t>
  </si>
  <si>
    <t xml:space="preserve">   Журнал "Кадровик практик"</t>
  </si>
  <si>
    <t xml:space="preserve">   Журнал "Справочник секретаря и офис менеджера"</t>
  </si>
  <si>
    <t xml:space="preserve">   Журнал "Правовые вопросы недвижимости"</t>
  </si>
  <si>
    <t xml:space="preserve">   Журнал "Хакер"</t>
  </si>
  <si>
    <t xml:space="preserve">   Журнал "Генеральный директор"</t>
  </si>
  <si>
    <t xml:space="preserve">   Журнал "Арбитражный и гражданский процесс"</t>
  </si>
  <si>
    <t xml:space="preserve">   Журнал "Вестник инвентаризатора"</t>
  </si>
  <si>
    <t xml:space="preserve">   Журнал "Информационный сборник"</t>
  </si>
  <si>
    <t xml:space="preserve">   Журнал "Главбух"</t>
  </si>
  <si>
    <t xml:space="preserve">   Журнал "Зарплата"</t>
  </si>
  <si>
    <t xml:space="preserve">   Журнал "Практическое налоговое планирование"</t>
  </si>
  <si>
    <t xml:space="preserve">   Журнал "Российский налоговый курьер"</t>
  </si>
  <si>
    <t xml:space="preserve">   Журнал "Финансовый директор"</t>
  </si>
  <si>
    <t xml:space="preserve">   Журнал "Кадровое дело"</t>
  </si>
  <si>
    <t xml:space="preserve">  Услуги сотовой связи</t>
  </si>
  <si>
    <t xml:space="preserve">  Услуги стационарной связи</t>
  </si>
  <si>
    <t xml:space="preserve">  Услуги интернета</t>
  </si>
  <si>
    <t xml:space="preserve">  Подключение интернета с учетом оборудования</t>
  </si>
  <si>
    <t>Обучение персонала:</t>
  </si>
  <si>
    <t xml:space="preserve">   Семинар-практикум по землеустройству </t>
  </si>
  <si>
    <t>чел.</t>
  </si>
  <si>
    <t xml:space="preserve">   Курсы повышения квалификации по защите информации</t>
  </si>
  <si>
    <t xml:space="preserve">   Курсы по обучению на кадастровых инженеров</t>
  </si>
  <si>
    <t xml:space="preserve">   Семинар, курсы по организации закупок товаров, работ, услуг (223-ФЗ)</t>
  </si>
  <si>
    <t xml:space="preserve">   Семинар по государственным и муниципальным заказам (94ФЗ)</t>
  </si>
  <si>
    <t xml:space="preserve">   Семинары, курсы (Финансово-экономический отдел)</t>
  </si>
  <si>
    <t xml:space="preserve">   Семинары, курсы (Отдел по управлению персоналом)</t>
  </si>
  <si>
    <t xml:space="preserve">   Семинары курсы (Административно-хозяйственный отдел)</t>
  </si>
  <si>
    <t xml:space="preserve">   Повышение квалификации (АСУ) "Конфигурация, управление и устранение                                        неисправностей работы организации Microsoft Exchange Server 2010"</t>
  </si>
  <si>
    <t>Коммунальные услуги:</t>
  </si>
  <si>
    <t>Водоснабжение и канализация</t>
  </si>
  <si>
    <t xml:space="preserve">   Айхальское представительство</t>
  </si>
  <si>
    <t>Абыйский филиал</t>
  </si>
  <si>
    <t>Жатайский филиал</t>
  </si>
  <si>
    <t>Жиганское представительство</t>
  </si>
  <si>
    <t>Кобяйский филиал</t>
  </si>
  <si>
    <t>Ленский филиал</t>
  </si>
  <si>
    <t>Мегино-Кангаласский филиал</t>
  </si>
  <si>
    <t>Мирнинский филиал</t>
  </si>
  <si>
    <t>Нерюнгринский филиал</t>
  </si>
  <si>
    <t>Нижнеколымское рабочее место</t>
  </si>
  <si>
    <t>Удачнинское представительство</t>
  </si>
  <si>
    <t>Усть-Майский филиал</t>
  </si>
  <si>
    <t>Административное здание РЦТИ, г. Якутск, ул. Кирова, 28</t>
  </si>
  <si>
    <t>Теплоснабжение</t>
  </si>
  <si>
    <t>Вилюйский филиал</t>
  </si>
  <si>
    <t>Олекминский филиал</t>
  </si>
  <si>
    <t>Олененекское предавительство</t>
  </si>
  <si>
    <t>Сунтарский филиал</t>
  </si>
  <si>
    <t>Таттинский филиал</t>
  </si>
  <si>
    <t>Чурапчинский филиал</t>
  </si>
  <si>
    <t>Технические и эксплуатационные услуги</t>
  </si>
  <si>
    <t>Электроэнергия</t>
  </si>
  <si>
    <t>Оборудование для энергоаудита:</t>
  </si>
  <si>
    <t xml:space="preserve">   Пирометр</t>
  </si>
  <si>
    <t xml:space="preserve">   Термометр контактный ТК5.06 с 4 зондами, чехлом</t>
  </si>
  <si>
    <t xml:space="preserve">   Измеритель ИТП-МГ 4.01 "Поток" трехканальный</t>
  </si>
  <si>
    <t xml:space="preserve">   Анемометр ИСП-Мг 4.01</t>
  </si>
  <si>
    <t xml:space="preserve">   Расходомер PortaFlow 220А</t>
  </si>
  <si>
    <t xml:space="preserve">   Анализатор AR5L kit4, гибкие клещи </t>
  </si>
  <si>
    <t xml:space="preserve">   Многофункциональный тестер (комплект питания, зарядное устройство)</t>
  </si>
  <si>
    <t xml:space="preserve">   Токовые клещи - Metrel A1018</t>
  </si>
  <si>
    <t xml:space="preserve">   Датчик люксметр (Тип В Metreb A1172)</t>
  </si>
  <si>
    <t xml:space="preserve">   SDS HotFind-DXT</t>
  </si>
  <si>
    <t>Основные средства:</t>
  </si>
  <si>
    <t xml:space="preserve">   Лазерный дальномер Leica DICTO</t>
  </si>
  <si>
    <t xml:space="preserve">   Комплект GNSS приемник JAVAD Triumph-1</t>
  </si>
  <si>
    <t xml:space="preserve">   Тахеометр NICON NIVO 5.MW+штатив S6-2-3900+отражатель OPTIMA+веха телескопическая 2,6м 5527-15</t>
  </si>
  <si>
    <t xml:space="preserve">   Перегородка</t>
  </si>
  <si>
    <t xml:space="preserve">   Автомобиль УАЗ-микроавтобус</t>
  </si>
  <si>
    <t xml:space="preserve">   Автомобиль Toyota Land Cruiser</t>
  </si>
  <si>
    <t xml:space="preserve">   Автомобиль Toyota Land Cruiser Prado</t>
  </si>
  <si>
    <t>Автозапчасти:</t>
  </si>
  <si>
    <t xml:space="preserve">   Автозапчасти  Nissan Patrol</t>
  </si>
  <si>
    <t xml:space="preserve">   Автозапчасти УАЗ-3159 «Барс»</t>
  </si>
  <si>
    <t xml:space="preserve">   Автозапчасти Т-Л-К-100</t>
  </si>
  <si>
    <t>Авторемонт:</t>
  </si>
  <si>
    <t xml:space="preserve">   Ремонт Nissan Patrol</t>
  </si>
  <si>
    <t xml:space="preserve">   Ремонт УАЗ-3159 «Барс»</t>
  </si>
  <si>
    <t xml:space="preserve">   Утепление УАЗ</t>
  </si>
  <si>
    <t>Горюче-смазочные материалы:</t>
  </si>
  <si>
    <t xml:space="preserve">   Бензин А-92 (на 5 автомашин) Майя-5200, Нерюнгри-5500, Л-К-100-5000, УАЗ-5200, Пробокс-4400</t>
  </si>
  <si>
    <t>л.</t>
  </si>
  <si>
    <t xml:space="preserve">   Дизельное топливо (Н-Патрол)</t>
  </si>
  <si>
    <t xml:space="preserve">   Дизельное топливо  (дизельная подстанция)</t>
  </si>
  <si>
    <t>Офисная мебель:</t>
  </si>
  <si>
    <t xml:space="preserve">   Стол</t>
  </si>
  <si>
    <t xml:space="preserve">   Стул ИЗО</t>
  </si>
  <si>
    <t xml:space="preserve">   Шкаф для документов</t>
  </si>
  <si>
    <t xml:space="preserve">   Шкаф для одежды</t>
  </si>
  <si>
    <t xml:space="preserve">   Тумба</t>
  </si>
  <si>
    <t xml:space="preserve">   Стол со стойкой</t>
  </si>
  <si>
    <t xml:space="preserve">   Приставка к столу </t>
  </si>
  <si>
    <t xml:space="preserve">   Диван</t>
  </si>
  <si>
    <t>Компьютеры, оргтехника, бытовая техника:</t>
  </si>
  <si>
    <t xml:space="preserve">   Компьютеры</t>
  </si>
  <si>
    <t xml:space="preserve">   Ноутбук</t>
  </si>
  <si>
    <t xml:space="preserve">   Монитор </t>
  </si>
  <si>
    <t xml:space="preserve">   Сервер</t>
  </si>
  <si>
    <t xml:space="preserve">   Принтер формата А4 лазерный</t>
  </si>
  <si>
    <t xml:space="preserve">   Принтер формата А3 струйный</t>
  </si>
  <si>
    <t xml:space="preserve">   Плоттер</t>
  </si>
  <si>
    <t xml:space="preserve">   Копировальный аппарат А3</t>
  </si>
  <si>
    <t xml:space="preserve">   МФУ формата A4</t>
  </si>
  <si>
    <t xml:space="preserve">   МФУ формата A3</t>
  </si>
  <si>
    <t xml:space="preserve">   Хаб (коммутатор)</t>
  </si>
  <si>
    <t xml:space="preserve">   ИБП</t>
  </si>
  <si>
    <t xml:space="preserve">   Клавиатура</t>
  </si>
  <si>
    <t xml:space="preserve">   Мышь</t>
  </si>
  <si>
    <t xml:space="preserve">   Сетевое хранилище</t>
  </si>
  <si>
    <t xml:space="preserve">   Флэш-накопитель 8 GB</t>
  </si>
  <si>
    <t xml:space="preserve">   USB внешний жесткий диск 2,5"</t>
  </si>
  <si>
    <t xml:space="preserve">   Серверный шкаф открытый</t>
  </si>
  <si>
    <t xml:space="preserve">   Системный блок </t>
  </si>
  <si>
    <t xml:space="preserve">   Тонер Canon C-EXV 14</t>
  </si>
  <si>
    <t xml:space="preserve">   NPG-11</t>
  </si>
  <si>
    <t xml:space="preserve">   Картриджи</t>
  </si>
  <si>
    <t xml:space="preserve">   Комплект для видео-конференций</t>
  </si>
  <si>
    <t xml:space="preserve">   Сканер</t>
  </si>
  <si>
    <t xml:space="preserve">   Кулер для воды</t>
  </si>
  <si>
    <t xml:space="preserve">   Трассоискатель</t>
  </si>
  <si>
    <t xml:space="preserve">   Плитка электрическая</t>
  </si>
  <si>
    <t xml:space="preserve">   Холодильник</t>
  </si>
  <si>
    <t xml:space="preserve">   Телевизор</t>
  </si>
  <si>
    <t xml:space="preserve">   Телефакс</t>
  </si>
  <si>
    <t xml:space="preserve">   Цифровая видеокамера</t>
  </si>
  <si>
    <t xml:space="preserve">   Диктофон</t>
  </si>
  <si>
    <t xml:space="preserve">   Облучатель </t>
  </si>
  <si>
    <t>Программное обеспечение:</t>
  </si>
  <si>
    <t xml:space="preserve">   Тех. Поддержка Oracle</t>
  </si>
  <si>
    <t xml:space="preserve">   Windows Server 2008 R2</t>
  </si>
  <si>
    <t xml:space="preserve">   Windows 7</t>
  </si>
  <si>
    <t xml:space="preserve">   ESET Nod32</t>
  </si>
  <si>
    <t xml:space="preserve">   Программа контроля и учета траффика</t>
  </si>
  <si>
    <t xml:space="preserve">   ПО АСКОН Компас</t>
  </si>
  <si>
    <t xml:space="preserve">   ПО TeamViewer</t>
  </si>
  <si>
    <t xml:space="preserve">   ПО "ГИС карта 2011" (Панорама)</t>
  </si>
  <si>
    <t xml:space="preserve">   ПК "РИК" "Проф"</t>
  </si>
  <si>
    <t xml:space="preserve">   Поддержка АИС Геокад</t>
  </si>
  <si>
    <t xml:space="preserve">   Adobe Photoshop CS5</t>
  </si>
  <si>
    <t xml:space="preserve">   V-Ray 2.0</t>
  </si>
  <si>
    <t xml:space="preserve">   Microsoft Office 2010 Prof. Plus RUS</t>
  </si>
  <si>
    <t xml:space="preserve">   AutoCad 2012 MultiLanguage</t>
  </si>
  <si>
    <t xml:space="preserve">   Autodesk 3ds Max</t>
  </si>
  <si>
    <t xml:space="preserve">   СС Консультант Плюс: Строительство, сетевой однопользовательский</t>
  </si>
  <si>
    <t xml:space="preserve">   Хранитель V для сервера (+ SQL)</t>
  </si>
  <si>
    <t xml:space="preserve">   Microsoft Exchange Server Enterprise 2010</t>
  </si>
  <si>
    <t xml:space="preserve">   Внедрение АИС "АРМ КИН"</t>
  </si>
  <si>
    <t xml:space="preserve">   ПК "Credo DAT"</t>
  </si>
  <si>
    <t xml:space="preserve">   Мероприятия по защите информации</t>
  </si>
  <si>
    <t>Канцелярские принадлежности:</t>
  </si>
  <si>
    <t xml:space="preserve">   Амбарная книга</t>
  </si>
  <si>
    <t xml:space="preserve">   Антистеплер</t>
  </si>
  <si>
    <t xml:space="preserve">   Банковские резинки 100 гр.</t>
  </si>
  <si>
    <r>
      <t xml:space="preserve">   Батарейки Durasell "Turbo" </t>
    </r>
    <r>
      <rPr>
        <b/>
        <sz val="11"/>
        <color indexed="8"/>
        <rFont val="Times New Roman"/>
        <family val="1"/>
        <charset val="204"/>
      </rPr>
      <t>AA</t>
    </r>
  </si>
  <si>
    <r>
      <t xml:space="preserve">   Батарейки Durasell "Turbo" </t>
    </r>
    <r>
      <rPr>
        <b/>
        <sz val="11"/>
        <color indexed="8"/>
        <rFont val="Times New Roman"/>
        <family val="1"/>
        <charset val="204"/>
      </rPr>
      <t>AAА</t>
    </r>
  </si>
  <si>
    <r>
      <t xml:space="preserve">   Батарейки Durasell "Turbo" </t>
    </r>
    <r>
      <rPr>
        <b/>
        <sz val="11"/>
        <color indexed="8"/>
        <rFont val="Times New Roman"/>
        <family val="1"/>
        <charset val="204"/>
      </rPr>
      <t>D</t>
    </r>
  </si>
  <si>
    <t xml:space="preserve">   Бумага А-3</t>
  </si>
  <si>
    <t>пач.</t>
  </si>
  <si>
    <t xml:space="preserve">   Бумага А-4</t>
  </si>
  <si>
    <t xml:space="preserve">   Бумага для заметок 9х9х9см</t>
  </si>
  <si>
    <t xml:space="preserve">   Бумага для заметок 9х9х9см в пластиковом корпусе</t>
  </si>
  <si>
    <t xml:space="preserve">   Бумага для плоттера </t>
  </si>
  <si>
    <t xml:space="preserve">   Бумага для факса</t>
  </si>
  <si>
    <t xml:space="preserve">   Грифель для автоматического карандаша</t>
  </si>
  <si>
    <t xml:space="preserve">   Дополнительные лезвия (10 шт) 18 мм.</t>
  </si>
  <si>
    <t xml:space="preserve">   Дополнительные лезвия (10 шт) 9 мм.</t>
  </si>
  <si>
    <t xml:space="preserve">   Дырокол со встроенной линейкой до 30 листов</t>
  </si>
  <si>
    <t xml:space="preserve">   Дырокол со встроенной линейкой до 40 листов</t>
  </si>
  <si>
    <t xml:space="preserve">   Дырокол со встроенной линейкой до 70 листов</t>
  </si>
  <si>
    <t xml:space="preserve">   Зажим для бумаг 19мм</t>
  </si>
  <si>
    <t xml:space="preserve">   Зажим для бумаг 32мм</t>
  </si>
  <si>
    <t xml:space="preserve">   Зажим для бумаг 51мм</t>
  </si>
  <si>
    <t xml:space="preserve">   Калькулятор "SITIZEN"</t>
  </si>
  <si>
    <t xml:space="preserve">   Канцелярский набор</t>
  </si>
  <si>
    <t xml:space="preserve">   Карандаш автоматический с грифелем</t>
  </si>
  <si>
    <t xml:space="preserve">   Карандаш чернографитный </t>
  </si>
  <si>
    <t xml:space="preserve">   Кассовый ролик</t>
  </si>
  <si>
    <t xml:space="preserve">   Клей карандаш </t>
  </si>
  <si>
    <t xml:space="preserve">   Книга учета</t>
  </si>
  <si>
    <t xml:space="preserve">   Конверт 110х220 Кому - Куда</t>
  </si>
  <si>
    <t xml:space="preserve">   Конверт А-4 229х324 Кому - Куда</t>
  </si>
  <si>
    <t xml:space="preserve">   Конверт А-5 162х229 Кому - Куда</t>
  </si>
  <si>
    <t xml:space="preserve">   Корзина для бумаг</t>
  </si>
  <si>
    <t xml:space="preserve">   Корректирующая жидкость 20 мл</t>
  </si>
  <si>
    <t xml:space="preserve">   Корректирующий карандаш "Arctic White"</t>
  </si>
  <si>
    <t xml:space="preserve">   Корректор (ручка)</t>
  </si>
  <si>
    <t xml:space="preserve">   Ластик</t>
  </si>
  <si>
    <t xml:space="preserve">   Линейка металлическая 20см</t>
  </si>
  <si>
    <t xml:space="preserve">   Линейка металлическая 30см</t>
  </si>
  <si>
    <t xml:space="preserve">   Линейка металлическая 50см</t>
  </si>
  <si>
    <t xml:space="preserve">   Маркер 4-х цветный</t>
  </si>
  <si>
    <t xml:space="preserve">   Маркер ZEBRA белая</t>
  </si>
  <si>
    <t xml:space="preserve">   Маркер ZEBRA черная</t>
  </si>
  <si>
    <t xml:space="preserve">   Маркер черный</t>
  </si>
  <si>
    <t xml:space="preserve">   Нитки (белые)</t>
  </si>
  <si>
    <t xml:space="preserve">   Нож канцелярский 18 мм большой</t>
  </si>
  <si>
    <t xml:space="preserve">   Ножницы</t>
  </si>
  <si>
    <t xml:space="preserve">   Обложка "Кожа" (100 шт)</t>
  </si>
  <si>
    <t xml:space="preserve">   Обложка "Прозрачные" (100 шт)</t>
  </si>
  <si>
    <t xml:space="preserve">   Обложка прозрачная, красная, 100 шт.</t>
  </si>
  <si>
    <t xml:space="preserve">   Обложка твердая, красная, 100 шт.</t>
  </si>
  <si>
    <t xml:space="preserve">   Папка "Дело" на завязках</t>
  </si>
  <si>
    <t xml:space="preserve">   Папка "Дело" скоросшиватели</t>
  </si>
  <si>
    <t xml:space="preserve">   Папка "Корона" (50мм)</t>
  </si>
  <si>
    <t xml:space="preserve">   Папка "Корона" (70мм)</t>
  </si>
  <si>
    <t xml:space="preserve">   Папка уголок А4 (10 шт.)</t>
  </si>
  <si>
    <t xml:space="preserve">   Перфофайл (файл для бумаг) (100 шт)</t>
  </si>
  <si>
    <t xml:space="preserve">   Планшет с зажимом</t>
  </si>
  <si>
    <t xml:space="preserve">   Подставка для бумаг 3-х. секционная сборная</t>
  </si>
  <si>
    <t xml:space="preserve">   Ролики (300*70*18)</t>
  </si>
  <si>
    <t xml:space="preserve">   Ручка "Megapolis"</t>
  </si>
  <si>
    <t xml:space="preserve">   Ручки гелевые: 3-х цветный</t>
  </si>
  <si>
    <t xml:space="preserve">   Ручки гелевые: синие</t>
  </si>
  <si>
    <t xml:space="preserve">   Ручки гелевые: черные</t>
  </si>
  <si>
    <t xml:space="preserve">   Ручки шариковые: 3-х цветный</t>
  </si>
  <si>
    <t xml:space="preserve">   Ручки шариковые: синие</t>
  </si>
  <si>
    <t xml:space="preserve">   Ручки шариковые: черные</t>
  </si>
  <si>
    <t xml:space="preserve">   Скобы 23/10 (1000 шт)</t>
  </si>
  <si>
    <t xml:space="preserve">   Скобы 23/13 (1000 шт)</t>
  </si>
  <si>
    <t xml:space="preserve">   Скобы 23/17 (1000 шт)</t>
  </si>
  <si>
    <t xml:space="preserve">   Скобы 24/6 (1000 шт)</t>
  </si>
  <si>
    <t xml:space="preserve">   Скобы №10 (1000 шт)</t>
  </si>
  <si>
    <t xml:space="preserve">   Скотч 20 мм узкий</t>
  </si>
  <si>
    <t xml:space="preserve">   Скотч 50 мм широкий</t>
  </si>
  <si>
    <t xml:space="preserve">   Скрепки золотые 50 мм (50 шт)</t>
  </si>
  <si>
    <t xml:space="preserve">   Скрепки золотые 33 мм (100 шт)</t>
  </si>
  <si>
    <t xml:space="preserve">   Сменная штемпельная подушка (круглая)</t>
  </si>
  <si>
    <t xml:space="preserve">   Степлер 23/10</t>
  </si>
  <si>
    <t xml:space="preserve">   Степлер 24/6</t>
  </si>
  <si>
    <t xml:space="preserve">   Степлер № 10</t>
  </si>
  <si>
    <t xml:space="preserve">   Стержни Мегаполис</t>
  </si>
  <si>
    <t xml:space="preserve">   Стикер 4х25х75 (4-х цветный)</t>
  </si>
  <si>
    <t xml:space="preserve">   Стикеры 100х75</t>
  </si>
  <si>
    <t xml:space="preserve">   Стикеры 50x75</t>
  </si>
  <si>
    <t xml:space="preserve">   Стикеры 75x75</t>
  </si>
  <si>
    <t xml:space="preserve">   Точилка</t>
  </si>
  <si>
    <t xml:space="preserve">   Шило</t>
  </si>
  <si>
    <t xml:space="preserve">   Штемпельная краска</t>
  </si>
  <si>
    <t xml:space="preserve">   Штемпельная подушка</t>
  </si>
  <si>
    <t>Охрана труда:</t>
  </si>
  <si>
    <t xml:space="preserve">Проведение аттестации рабочих мест по условиям труда </t>
  </si>
  <si>
    <t>Спецодежда, спецобувь и другие средства индивидуальной защиты</t>
  </si>
  <si>
    <t xml:space="preserve">Спецодежда зимняя </t>
  </si>
  <si>
    <t>Профилактика и поверка тахеометра, теодолита, лазерных рулеток</t>
  </si>
  <si>
    <t>ИТОГО:</t>
  </si>
  <si>
    <t xml:space="preserve">   Зеркало </t>
  </si>
  <si>
    <t xml:space="preserve">   Уничтожитель документов</t>
  </si>
  <si>
    <t xml:space="preserve">   Автозапчасти УАЗ - микроавтобус</t>
  </si>
  <si>
    <t xml:space="preserve">   Телефон мобильный</t>
  </si>
  <si>
    <t xml:space="preserve">   Замена окон административного здания: Кирова, 28</t>
  </si>
  <si>
    <t xml:space="preserve">   Система видеонаблюдения</t>
  </si>
  <si>
    <t xml:space="preserve">   Кондиционер</t>
  </si>
  <si>
    <t xml:space="preserve">   Информационно-консультационные услуги по изготовлению техпланов (г. Екатеринбург)</t>
  </si>
  <si>
    <t>Добровольное медицинское страхование</t>
  </si>
  <si>
    <t xml:space="preserve">   Кресло </t>
  </si>
  <si>
    <t xml:space="preserve">   Короб архивный</t>
  </si>
  <si>
    <t xml:space="preserve">   Телефон</t>
  </si>
  <si>
    <t xml:space="preserve">   Радиотелефон</t>
  </si>
  <si>
    <t xml:space="preserve">   Автомобильный видеорегистратор</t>
  </si>
  <si>
    <t>Цветы комнатные</t>
  </si>
  <si>
    <t xml:space="preserve">  Услуги связи:</t>
  </si>
  <si>
    <t xml:space="preserve">   Чайник</t>
  </si>
  <si>
    <t xml:space="preserve">   Диспенсер</t>
  </si>
  <si>
    <t xml:space="preserve">   Фотоаппарат</t>
  </si>
  <si>
    <t xml:space="preserve">   Планшетный ПК</t>
  </si>
  <si>
    <t xml:space="preserve">   Коммуникатор Аpple</t>
  </si>
  <si>
    <t xml:space="preserve">   Радиостанция</t>
  </si>
  <si>
    <t xml:space="preserve">   Электроплитка</t>
  </si>
  <si>
    <t xml:space="preserve">   ПО Radmin 150  лицензий</t>
  </si>
  <si>
    <t xml:space="preserve">   Обслуживание электрохозяйства</t>
  </si>
  <si>
    <t>Вода питьевая</t>
  </si>
  <si>
    <t xml:space="preserve">   Сопровождение ПО "1С: Предприятие"</t>
  </si>
  <si>
    <t xml:space="preserve">  Почтовые услуги</t>
  </si>
  <si>
    <t xml:space="preserve">   Информационно-консультационные услуги по изготовлению техпланов (г. Самара)</t>
  </si>
  <si>
    <t xml:space="preserve">   Информационно-консультационные системы (Бухгалтерия, Кадры)</t>
  </si>
  <si>
    <t xml:space="preserve">   Информационно-консультационные услуги (психологический семинар)</t>
  </si>
  <si>
    <t xml:space="preserve">   Ремонт помещений административного здания: г. Якутск, ул. Кирова, д. 28</t>
  </si>
  <si>
    <t xml:space="preserve">   Семинары, курсы (АСУ)</t>
  </si>
  <si>
    <t xml:space="preserve">   Прочие семинары, курсы повышения квалификации</t>
  </si>
  <si>
    <t xml:space="preserve">   Беспилотник</t>
  </si>
  <si>
    <t>к приказу ГУП "РЦТИ"</t>
  </si>
  <si>
    <t>от "_____"_________________ 2012 г.</t>
  </si>
  <si>
    <t>№ ____________________</t>
  </si>
  <si>
    <t>ПРИЛОЖЕНИЕ № 1</t>
  </si>
  <si>
    <t>Ф О Р М А</t>
  </si>
  <si>
    <t>плана закупки товаров (работ, услуг)</t>
  </si>
  <si>
    <t xml:space="preserve">на </t>
  </si>
  <si>
    <t>год (на</t>
  </si>
  <si>
    <t xml:space="preserve"> период)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</si>
  <si>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</si>
  <si>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</si>
  <si>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</si>
  <si>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</si>
  <si>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</si>
  <si>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</si>
  <si>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</si>
  <si>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Порядковый номер</t>
  </si>
  <si>
    <t>Код по ОКВЭД</t>
  </si>
  <si>
    <t>Код по ОКДП</t>
  </si>
  <si>
    <t>Условия договора</t>
  </si>
  <si>
    <t>Способ закупки</t>
  </si>
  <si>
    <t>Закупка
в электронной форме</t>
  </si>
  <si>
    <t>Предмет договора</t>
  </si>
  <si>
    <t>Минимально необходимые требования, предъявляемые
к закупаемым товарам (работам, услугам)</t>
  </si>
  <si>
    <t>Сведения о количестве (объеме)</t>
  </si>
  <si>
    <t>Регион
поставки
товаров (выполнения работ,
оказания услуг)</t>
  </si>
  <si>
    <t>Сведения
о начальной (максимальной)
цене договора
(цене лота)</t>
  </si>
  <si>
    <t>График осуществления процедур закупки</t>
  </si>
  <si>
    <t>Код по ОКЕИ</t>
  </si>
  <si>
    <t>наименование</t>
  </si>
  <si>
    <t>Код по ОКАТО</t>
  </si>
  <si>
    <t>Планируемая дата или период размещения извещения
о закупке
(месяц, год)</t>
  </si>
  <si>
    <t>Срок исполнения договора
(месяц, год)</t>
  </si>
  <si>
    <t>да/нет</t>
  </si>
  <si>
    <t>1</t>
  </si>
  <si>
    <t>2</t>
  </si>
  <si>
    <t>3</t>
  </si>
  <si>
    <t xml:space="preserve">62.10.1 </t>
  </si>
  <si>
    <t>74.12.2</t>
  </si>
  <si>
    <t>74.60</t>
  </si>
  <si>
    <t>45.31</t>
  </si>
  <si>
    <t>72.50</t>
  </si>
  <si>
    <t>45.33</t>
  </si>
  <si>
    <t>40.30.1</t>
  </si>
  <si>
    <t>41</t>
  </si>
  <si>
    <t>40.1</t>
  </si>
  <si>
    <t>52.48.1</t>
  </si>
  <si>
    <t xml:space="preserve">52.42   </t>
  </si>
  <si>
    <t>52.47</t>
  </si>
  <si>
    <t>72.1</t>
  </si>
  <si>
    <t>70.32.2</t>
  </si>
  <si>
    <t xml:space="preserve">50 </t>
  </si>
  <si>
    <t>50</t>
  </si>
  <si>
    <t>50.5</t>
  </si>
  <si>
    <t>51.64.3</t>
  </si>
  <si>
    <t xml:space="preserve">66.0  </t>
  </si>
  <si>
    <t>52.48.32</t>
  </si>
  <si>
    <t xml:space="preserve">45 </t>
  </si>
  <si>
    <t xml:space="preserve">74.4  </t>
  </si>
  <si>
    <t xml:space="preserve">22  </t>
  </si>
  <si>
    <t>74.4</t>
  </si>
  <si>
    <t>80</t>
  </si>
  <si>
    <t xml:space="preserve">52.45.1  </t>
  </si>
  <si>
    <t>52.45.1</t>
  </si>
  <si>
    <t>52.48.14</t>
  </si>
  <si>
    <t>г.Якутск</t>
  </si>
  <si>
    <t>г.Ленск</t>
  </si>
  <si>
    <t>Таттинский улус</t>
  </si>
  <si>
    <t>п.Айхал</t>
  </si>
  <si>
    <t>п.Белая Гора</t>
  </si>
  <si>
    <t>г.Вилюйск</t>
  </si>
  <si>
    <t>Чурапчинский улус</t>
  </si>
  <si>
    <t>п.Сангар</t>
  </si>
  <si>
    <t>п.Жатай</t>
  </si>
  <si>
    <t>Жиганский улус</t>
  </si>
  <si>
    <t>Мегино-Кангаласский улус</t>
  </si>
  <si>
    <t>г.Мирный</t>
  </si>
  <si>
    <t>г.Нерюнгри</t>
  </si>
  <si>
    <t>п.Усть-Майя</t>
  </si>
  <si>
    <t>г.Удачный</t>
  </si>
  <si>
    <t>Сунтарский улус</t>
  </si>
  <si>
    <t>п.Черский</t>
  </si>
  <si>
    <t>Оленекский улус</t>
  </si>
  <si>
    <t>г.Нюрба</t>
  </si>
  <si>
    <t>Единственный источник</t>
  </si>
  <si>
    <t xml:space="preserve"> I, II квартал 2012 г.</t>
  </si>
  <si>
    <t xml:space="preserve"> IV квартал 2012 г.</t>
  </si>
  <si>
    <t>Оказание услуг по бронированию и продаже авиабилетов</t>
  </si>
  <si>
    <t>1.2</t>
  </si>
  <si>
    <t>1.1</t>
  </si>
  <si>
    <t>Гкал</t>
  </si>
  <si>
    <t>тыс. м3</t>
  </si>
  <si>
    <t>г.Олекминск</t>
  </si>
  <si>
    <t>Улусы Республики Саха (Якутия)</t>
  </si>
  <si>
    <t>пасс мест</t>
  </si>
  <si>
    <t>74.14</t>
  </si>
  <si>
    <t>74.15</t>
  </si>
  <si>
    <t>74.16</t>
  </si>
  <si>
    <t>74.17</t>
  </si>
  <si>
    <t>74.18</t>
  </si>
  <si>
    <t>кВт.ч</t>
  </si>
  <si>
    <t>72.60</t>
  </si>
  <si>
    <t>Обучение системных администраторов на курсах Microsoft 6425 Конфигурирование службы каталогов Windows Server 2008 Active Directory</t>
  </si>
  <si>
    <t>нов</t>
  </si>
  <si>
    <t>Обучение системных администраторов на курсах ICND1, ICND 2 Использование сетевого оборудования</t>
  </si>
  <si>
    <t>???</t>
  </si>
  <si>
    <t>Сканер протяжной, поточный А0, 42"</t>
  </si>
  <si>
    <t>Плоттер А0</t>
  </si>
  <si>
    <t>Сервер</t>
  </si>
  <si>
    <t>Системный блок</t>
  </si>
  <si>
    <t>Источники бесперебойного питания для серверов</t>
  </si>
  <si>
    <t>Стойка напольная открытая для серверов</t>
  </si>
  <si>
    <t xml:space="preserve">Microsoft Windows Server 2012 Standard </t>
  </si>
  <si>
    <t>изм</t>
  </si>
  <si>
    <t>Microsoft Windows 8 +Software Assurance</t>
  </si>
  <si>
    <t xml:space="preserve">Microsoft Windows Server CAL 2012 Russian OPEN 1 License No Level User/Device CAL </t>
  </si>
  <si>
    <t>Microsoft Win Rmt Dsktp Svcs CAL 2008 Russian OPEN 1 License No Level Device CAL</t>
  </si>
  <si>
    <t>Microsoft Exchange Server Enterprise 2010 Russian OPEN 1 License No Level GOV A</t>
  </si>
  <si>
    <t>Microsoft Exchange Enterprise CAL 2010 Russian OPEN No Level User CAL Without Services</t>
  </si>
  <si>
    <t>Государственное унитарное предприятие Республики Саха (Якутия) "Республиканский центр технического учета и технической инвентаризации"</t>
  </si>
  <si>
    <t>677000, Саха /Якутия/, Якутск, Аммосова, дом 8</t>
  </si>
  <si>
    <t>7-4112-428104</t>
  </si>
  <si>
    <t>torgi_rcti@mail.ru</t>
  </si>
  <si>
    <t>тыс. кВт.ч</t>
  </si>
  <si>
    <t>Айхальское представительство</t>
  </si>
  <si>
    <t>м3</t>
  </si>
  <si>
    <t>г. Якутск</t>
  </si>
  <si>
    <t>Охрана труда</t>
  </si>
  <si>
    <t>Канцелярские принадлежности</t>
  </si>
  <si>
    <t>Рекламно-коммерческая информация в печатных СМИ</t>
  </si>
  <si>
    <t>Охрана имущества</t>
  </si>
  <si>
    <t>Сведения
о начальной (максимальной)
цене договора
(цене лота), руб.</t>
  </si>
  <si>
    <t>единица</t>
  </si>
  <si>
    <t xml:space="preserve">                                раб. мест</t>
  </si>
  <si>
    <t>литр</t>
  </si>
  <si>
    <t>Монтаж охранно-пожарной сигнализации</t>
  </si>
  <si>
    <t>УАЗ-220695-04 Договор №1 от 09.06.2012 г. - 498000 руб</t>
  </si>
  <si>
    <t>Тахеометр Nikon Nivo, штатив, отражатель, веха  18.06.201 - 322000</t>
  </si>
  <si>
    <t>Приемник спутниковый Triumph-1G3T (JAVAD), контроллер, ПО, веха  18.06.2012  - 815650</t>
  </si>
  <si>
    <t>ИП Сивцев А.С. - 258659, Бычков Евгений Валерьевич  26.07.2012 г. ИП - 24200</t>
  </si>
  <si>
    <t>Закупка у единственного поставщика.</t>
  </si>
  <si>
    <t>a) Конкурс; б) Аукцион, в том числе в электронной форме; в) Запрос предложений; г) Запрос цен (запрос котировок); д) Конкурентные переговоры; е) Закупка у единственного поставщика.</t>
  </si>
  <si>
    <t xml:space="preserve">   ПП Профессиональная ГИС "Карта 2011" (версия 11, включает GIS ToolKit)</t>
  </si>
  <si>
    <t>исключить</t>
  </si>
  <si>
    <t>45.44.1</t>
  </si>
  <si>
    <t xml:space="preserve">   Строительство санузла для Таттинского филиала</t>
  </si>
  <si>
    <t xml:space="preserve">   Строительство санузла для Чурапчинского филиала </t>
  </si>
  <si>
    <t>аренду включать?</t>
  </si>
  <si>
    <r>
      <t xml:space="preserve">   Батарейки Durasell "Turbo" </t>
    </r>
    <r>
      <rPr>
        <b/>
        <sz val="9"/>
        <color indexed="8"/>
        <rFont val="Times New Roman"/>
        <family val="1"/>
        <charset val="204"/>
      </rPr>
      <t>AA</t>
    </r>
  </si>
  <si>
    <r>
      <t xml:space="preserve">   Батарейки Durasell "Turbo" </t>
    </r>
    <r>
      <rPr>
        <b/>
        <sz val="9"/>
        <color indexed="8"/>
        <rFont val="Times New Roman"/>
        <family val="1"/>
        <charset val="204"/>
      </rPr>
      <t>AAА</t>
    </r>
  </si>
  <si>
    <r>
      <t xml:space="preserve">   Батарейки Durasell "Turbo" </t>
    </r>
    <r>
      <rPr>
        <b/>
        <sz val="9"/>
        <color indexed="8"/>
        <rFont val="Times New Roman"/>
        <family val="1"/>
        <charset val="204"/>
      </rPr>
      <t>D</t>
    </r>
  </si>
  <si>
    <t>Поставка газа</t>
  </si>
  <si>
    <t>1 квартал 2012</t>
  </si>
  <si>
    <t>2.1</t>
  </si>
  <si>
    <t>4.1</t>
  </si>
  <si>
    <t>4.2</t>
  </si>
  <si>
    <t>4.3</t>
  </si>
  <si>
    <t>4.4</t>
  </si>
  <si>
    <t>4.5</t>
  </si>
  <si>
    <t>4.6</t>
  </si>
  <si>
    <t>5.1</t>
  </si>
  <si>
    <t>5.2</t>
  </si>
  <si>
    <t>7</t>
  </si>
  <si>
    <t>7.1</t>
  </si>
  <si>
    <t>7.2</t>
  </si>
  <si>
    <t>7.3</t>
  </si>
  <si>
    <t>8</t>
  </si>
  <si>
    <t>8.1.</t>
  </si>
  <si>
    <t>8.2</t>
  </si>
  <si>
    <t>8.3</t>
  </si>
  <si>
    <t>8.4</t>
  </si>
  <si>
    <t>8.5</t>
  </si>
  <si>
    <t>8.6</t>
  </si>
  <si>
    <t>9</t>
  </si>
  <si>
    <t>10</t>
  </si>
  <si>
    <t>11</t>
  </si>
  <si>
    <t>12</t>
  </si>
  <si>
    <t>12.1</t>
  </si>
  <si>
    <t>12.2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</si>
  <si>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</si>
  <si>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</si>
  <si>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</si>
  <si>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</si>
  <si>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</si>
  <si>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</si>
  <si>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</si>
  <si>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</si>
  <si>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</si>
  <si>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</si>
  <si>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Горюче-смазочные материалы (бензин, дизельное топливо)</t>
  </si>
  <si>
    <t>Мероприятия по защите информации</t>
  </si>
  <si>
    <t>Бумага</t>
  </si>
  <si>
    <t>запрос предложений</t>
  </si>
  <si>
    <t>нет</t>
  </si>
  <si>
    <t>запрос цен</t>
  </si>
  <si>
    <t xml:space="preserve">   Здания Ленского филиала, г. Ленск, ул. Ленина, 88 </t>
  </si>
  <si>
    <t>аукцион</t>
  </si>
  <si>
    <t>да</t>
  </si>
  <si>
    <t>Оборудование для энергоаудита</t>
  </si>
  <si>
    <t>План закупки товаров (работ, услуг)</t>
  </si>
  <si>
    <t xml:space="preserve">Республика Саха (Якутия)     </t>
  </si>
  <si>
    <t xml:space="preserve">64.20.11  </t>
  </si>
  <si>
    <t>2.2</t>
  </si>
  <si>
    <t xml:space="preserve">   Информационно-правовое обеспечение (г. Якутск, г. Мирный, г. Нерюнгри, г. Ленск, с. Амга)</t>
  </si>
  <si>
    <t>Консультант+Строительство</t>
  </si>
  <si>
    <t>7.4</t>
  </si>
  <si>
    <t>7.5</t>
  </si>
  <si>
    <t>Запрос предложений</t>
  </si>
  <si>
    <t>74.7</t>
  </si>
  <si>
    <t>Уборка территории и служебных помещений</t>
  </si>
  <si>
    <t>м2</t>
  </si>
  <si>
    <t xml:space="preserve">51.64.2   </t>
  </si>
  <si>
    <t xml:space="preserve">51.65.6   </t>
  </si>
  <si>
    <t xml:space="preserve">   Тахеометр NICON NIVO 5.MW+штатив S6-2-3900+отражатель OPTIMA+веха телескопическая 2,6м 5527-16</t>
  </si>
  <si>
    <t>50.10</t>
  </si>
  <si>
    <t>35.30.3</t>
  </si>
  <si>
    <t>2320212, 2320230</t>
  </si>
  <si>
    <t>15.1</t>
  </si>
  <si>
    <t>15.2</t>
  </si>
  <si>
    <t>15.3</t>
  </si>
  <si>
    <t>15.4</t>
  </si>
  <si>
    <t>15.5</t>
  </si>
  <si>
    <t>15.6</t>
  </si>
  <si>
    <t>15.7</t>
  </si>
  <si>
    <t>15.8</t>
  </si>
  <si>
    <t>52.48.13</t>
  </si>
  <si>
    <t>Общество с ограниченной ответственностью "Энергия-Транзит"</t>
  </si>
  <si>
    <t>656922, Барнаул, ул. Попова, 242</t>
  </si>
  <si>
    <t>7-3852-22-90-78</t>
  </si>
  <si>
    <t>4</t>
  </si>
  <si>
    <t xml:space="preserve">  Закупка у единственного поставщика  </t>
  </si>
  <si>
    <t xml:space="preserve">  нет  </t>
  </si>
  <si>
    <t>Код по ОКВЭД2</t>
  </si>
  <si>
    <t>Код по ОКПД2</t>
  </si>
  <si>
    <t>5</t>
  </si>
  <si>
    <t>6</t>
  </si>
  <si>
    <t>42.22.22</t>
  </si>
  <si>
    <t>01401364000</t>
  </si>
  <si>
    <t>zimina@e-tranzit.ru</t>
  </si>
  <si>
    <t>Поставка автомобиля
 ГАЗ 2752 Соболь
для нужд ООО "Энергия-Транзит"</t>
  </si>
  <si>
    <t>08.2017</t>
  </si>
  <si>
    <t>ед</t>
  </si>
  <si>
    <t>27.32.2</t>
  </si>
  <si>
    <t>27.12</t>
  </si>
  <si>
    <t>43.21</t>
  </si>
  <si>
    <t>45.11.1</t>
  </si>
  <si>
    <t>27.33</t>
  </si>
  <si>
    <t>27.3</t>
  </si>
  <si>
    <r>
      <rPr>
        <i/>
        <sz val="10"/>
        <rFont val="Times New Roman"/>
        <family val="1"/>
        <charset val="204"/>
      </rPr>
      <t>29.10.2</t>
    </r>
    <r>
      <rPr>
        <sz val="10"/>
        <rFont val="Times New Roman"/>
        <family val="1"/>
        <charset val="204"/>
      </rPr>
      <t xml:space="preserve">
</t>
    </r>
  </si>
  <si>
    <t>01.2017</t>
  </si>
  <si>
    <t>68.10.22</t>
  </si>
  <si>
    <t>68.10.1</t>
  </si>
  <si>
    <t>ед.</t>
  </si>
  <si>
    <t>г. Барнаул</t>
  </si>
  <si>
    <t>006</t>
  </si>
  <si>
    <t>642</t>
  </si>
  <si>
    <t>Технический регламент Таможенного союза "О безопасности колесных транспортных средств" (вместе с "ТР ТС 018/2011. Технический регламент Таможенного союза. О безопасности колесных транспортных средств")</t>
  </si>
  <si>
    <t>В соответствии с требованиями действующего законодательства РФ и условиям договора</t>
  </si>
  <si>
    <t>Поставка выключателей автоматических
на 2000 ампер
для нужд ООО "Энергия транзит"</t>
  </si>
  <si>
    <t>31.07.2017</t>
  </si>
  <si>
    <t>05.2017</t>
  </si>
  <si>
    <t>30.09.2017</t>
  </si>
  <si>
    <t>Гост р 54101-2010 
"РД 78.145-93. Системы и комплексы охранной, пожарной и охранно-пожарной сигнализации. Правила производства и приемки работ" (согласовано СПАСР МВД РФ 12.01.1993 N 20/4/28)
СНиП 3.05.06-85 «Электротехнические устройства»</t>
  </si>
  <si>
    <t>ГОСТ 9098-78. Выключатели автоматические низковольтные. Общие
технические условия.
- ГОСТ 14255-69. Аппараты электрические на напряжение до 1000 В.
Оболочки. Степени защиты.
- ГОСТ 15150-69. Машины, приборы и другие технические изделия.
Исполнение для различных климатических районов. Категории, условия
эксплуатации, хранение и транспортирование в части воздействия
климатических факторов внешней среды.</t>
  </si>
  <si>
    <t>04.2017</t>
  </si>
  <si>
    <t>Оказание услуг по установке охранной сигнализации на 24 подстанциях для нужд ООО "Энергия транзит"</t>
  </si>
  <si>
    <t>02.2017</t>
  </si>
  <si>
    <t>Поставка камеры сборной одностороннего обслуживания КСО-285</t>
  </si>
  <si>
    <t>27.33.1.</t>
  </si>
  <si>
    <t xml:space="preserve">2 600 000 </t>
  </si>
  <si>
    <t>03. 2017 г.</t>
  </si>
  <si>
    <t xml:space="preserve">1 250 000 </t>
  </si>
  <si>
    <t xml:space="preserve">720 000 </t>
  </si>
  <si>
    <t>1100000</t>
  </si>
  <si>
    <t>200000</t>
  </si>
  <si>
    <t>150000</t>
  </si>
  <si>
    <t>Покупка кабельной линии электропередачи 10 кВ,  По адресу: Россия, Алтайский край, г. Барнаул, ул. Малахова, д. 154а/1(эс).</t>
  </si>
  <si>
    <t>Покупка кабельной линии электропередачи 10 кВ, по адресу: Россия, Алтайский край, г. Барнаул, ул. Малахова, д. 154а/1(эс).</t>
  </si>
  <si>
    <t>Покупка сети электроснабжения, по адресу: Россия, Алтайский край, г. Барнаул, проезд Северный Власихинский, д. 20эс.</t>
  </si>
  <si>
    <t>Покупка кабельной линии электропередачи, по адресу: Россия, Алтайский край, г. Барнаул, ул. Лазурная, д. 39(эс).</t>
  </si>
  <si>
    <t>Покупка сети электроснабжения, по адресу: Россия, Алтайский край, г. Барнаул, ул. Лазурная, д. 39/1(эс).</t>
  </si>
  <si>
    <t>Покупка кабельной линии электропередачи, по адресу: Россия, Алтайский край, г. Барнаул, ул. Малахова, д. 148б(эс).</t>
  </si>
  <si>
    <t>Покупка кабельной линии электропередачи 10 кВ, Лит. 1,  по адресу: Россия, Алтайский край, г. Барнаул, ул. Малахова, д. 154а/1(эс).</t>
  </si>
  <si>
    <t>29.10.22</t>
  </si>
  <si>
    <t>Да</t>
  </si>
  <si>
    <t>Годовой план закупки товаров, работ, услуг для нужд ООО "Энергия-Транзит" на 2017 г. (редакция №6)</t>
  </si>
  <si>
    <t>29.1</t>
  </si>
  <si>
    <t>Поставка грузопассажирского автомобиля
для нужд ООО "Энергия-Транзит"</t>
  </si>
  <si>
    <t>Поставка кабельной продукции для нужд
ООО "Энергия-Транзит"</t>
  </si>
  <si>
    <t>г.Барнаул</t>
  </si>
  <si>
    <t xml:space="preserve">4 128 950 </t>
  </si>
  <si>
    <t>11.2017</t>
  </si>
  <si>
    <t>Поставка приборов учета, трансформаторов и сопутствующих изделий измерительного комплекса</t>
  </si>
  <si>
    <t>Счётчик электрической энергии многофункциональный ПСЧ-4ТМ.05МК.16 24 шт. Счётчик электрической энергии трёхфазный статический МАЯК Т301АРТ.153Т.2ИПО2Б 250 шт.  Коммуникатор GSM C-1.02.01 (встраиваемый в счётчик ПСЧ-4ТМ.05МК) 13 шт.  Трансформатор тока ТШП-0,66-10-0,5-1500/5 У3 (без шин) 42 шт.  Трансформатор тока ТШП-0,66-10-0,5-1000/5 У3 (без шин) 6 шт.  Трансформатор тока ТШП-0,66-10-0,5-250/5 У3 (с  шинами) 60 шт.  Трансформатор тока ТШП-0,66-10-0,5-150/5 У3 (с  шинами) 210 шт.  Трансформатор тока ТШП-0,66-10-0,5-100/5 У3 (с  шинами) 420 шт.  Трансформатор тока ТШП-0,66-10-0,5-50/5 У3 (с  шинами) 60 шт.  Коробка испытательная переходная (КИП) 275 шт.</t>
  </si>
  <si>
    <t>Поставка электроустановочных и крепежных изделий для нужд ООО "Энергия-Транзит"</t>
  </si>
  <si>
    <t>Нет</t>
  </si>
  <si>
    <t xml:space="preserve">м
</t>
  </si>
  <si>
    <t>м</t>
  </si>
  <si>
    <t>796</t>
  </si>
  <si>
    <t xml:space="preserve">АСБ-10-3х240 мм2- 250
ААБл-10-3х150 мм2 - 800
ААБл-10-3х120 мм2 - 2000
АСБ-10-3х120 мм2 - 200
ААБл-10-3х70 мм2 - 1730
АПвБбШв-1-4х240 мм2 - 250
АПвБбШнг-1-4х150 мм2 - 500
АПвБбШв-1-4х120 мм2 - 250
АПвБбШнг-1-4х95 мм2 - 500
АПвБбШв-1-4х70 мм2 - 150
</t>
  </si>
  <si>
    <t>27.1</t>
  </si>
  <si>
    <t>усл. ед</t>
  </si>
  <si>
    <t>Выполнение работ по техническому освидетельствование высоковольтного электрооборудования</t>
  </si>
  <si>
    <t>33.14</t>
  </si>
  <si>
    <t>33.14.11</t>
  </si>
  <si>
    <t>09.2017</t>
  </si>
  <si>
    <t>Закупка у единственного поставщика</t>
  </si>
  <si>
    <t xml:space="preserve">Выполнение работ по строительству кабельной линии 10 кВ 
от опоры № 6 ВЛЗ-10 кВ по ул. Трактовая до ТП-10/0,4 кВ по ул. Трактовая, 2б/1 г.Барнаула 
</t>
  </si>
  <si>
    <t xml:space="preserve">Выполнение работ по строительству кабельных линий 0,4 кВ 
от ТП-3/7 по ул. 280-летия Барнаула, 2б до ВРУ-0,4 кВ школы и бассейна по ул. 280-летия Барнаула, 8
</t>
  </si>
  <si>
    <t>42.22.2</t>
  </si>
  <si>
    <t>15.06.2017</t>
  </si>
  <si>
    <t>08.06.2017</t>
  </si>
  <si>
    <t>Заключение договора на оказание услуг по передаче электрической энергии</t>
  </si>
  <si>
    <t>12.2017</t>
  </si>
  <si>
    <t>35.12.1</t>
  </si>
  <si>
    <t>35.1</t>
  </si>
  <si>
    <t>06.2017</t>
  </si>
  <si>
    <t>291 819</t>
  </si>
  <si>
    <t>24</t>
  </si>
  <si>
    <t>25</t>
  </si>
  <si>
    <t>26</t>
  </si>
  <si>
    <t>68.10.2</t>
  </si>
  <si>
    <t>Покупка трансформаторной станции с оборудованием по адресу: Алтайский край, город Барнаул, проезд Южный Власихинский, д.44а</t>
  </si>
  <si>
    <t>в соответствии с требованиями действующего законодательства РФ и условиям договора</t>
  </si>
  <si>
    <t xml:space="preserve">7 500 000 </t>
  </si>
  <si>
    <t>06.2017 г.</t>
  </si>
  <si>
    <t xml:space="preserve">1 426 000 </t>
  </si>
  <si>
    <t xml:space="preserve">Покупка кабельной линии электропередачи 10 кВ от РП-18 до ТП 19 – 10 кВ по адресу: Алтайский край, г. Барнаул, проезд Южный Власихинский, 32а.  </t>
  </si>
  <si>
    <t>2 346 000 </t>
  </si>
  <si>
    <t xml:space="preserve">Покупка сети электроснабжения10 кВ Лит.1 по адресу:
 Алтайский край, г. Барнаул, проезд Южный Власихинский, 44а.  </t>
  </si>
  <si>
    <t>Дата утверждения</t>
  </si>
  <si>
    <t>23</t>
  </si>
  <si>
    <t xml:space="preserve"> 68.10.22</t>
  </si>
  <si>
    <t>27</t>
  </si>
  <si>
    <t>Выполнение работ по строительству кабельной линии КЛ-10 кВ от муфт М1(М2) до проектируемой ТП-10/0,4 кВ по адресу: г. Барнаул,  ул. Балтийская, 76.</t>
  </si>
  <si>
    <t>07.2017</t>
  </si>
  <si>
    <t>65.12.2</t>
  </si>
  <si>
    <t>65.1</t>
  </si>
  <si>
    <t>Страхование имущества
ООО «Энергия-Транзит»</t>
  </si>
  <si>
    <t>876</t>
  </si>
  <si>
    <t>28</t>
  </si>
  <si>
    <t>29</t>
  </si>
  <si>
    <t>30</t>
  </si>
  <si>
    <t>31</t>
  </si>
  <si>
    <t>055</t>
  </si>
  <si>
    <t>Покупка трансформаторной подстанции № 13  с оборудованием по адресу: Россия, Алтайский край, город Барнаул, тракт Змеиногорский, д.104п/4.</t>
  </si>
  <si>
    <t>Покупка трансформаторной подстанции № 14  с оборудованием по адресу:Россия, Алтайский край, город Барнаул, тракт Змеиногорский, д.104п/8.</t>
  </si>
  <si>
    <t xml:space="preserve">50.7 </t>
  </si>
  <si>
    <t>018</t>
  </si>
  <si>
    <t>пм</t>
  </si>
  <si>
    <t>Покупка сети электроснабжения 6 кВ, литер 1 протяженность сети электроснабжения1465 п м, в том числе:  протяженность кабеля марки 2 ААБл1*3-120 1465, п.м.</t>
  </si>
  <si>
    <t xml:space="preserve">да  </t>
  </si>
  <si>
    <t>64.1</t>
  </si>
  <si>
    <t>64.19.11.000</t>
  </si>
  <si>
    <t>усл.ед.</t>
  </si>
  <si>
    <t xml:space="preserve">Заключение договора банковского
 вклада (депозита) </t>
  </si>
  <si>
    <t>33</t>
  </si>
  <si>
    <t>34</t>
  </si>
  <si>
    <t>35</t>
  </si>
  <si>
    <t>36</t>
  </si>
  <si>
    <t xml:space="preserve">4 698000 </t>
  </si>
  <si>
    <t xml:space="preserve">Кабель ААБл-10-3х240 -  3480 </t>
  </si>
  <si>
    <t>62.02</t>
  </si>
  <si>
    <t>62.02.30.000</t>
  </si>
  <si>
    <t>12.2019</t>
  </si>
  <si>
    <t xml:space="preserve">Обновление и обслуживание ранее установленных электронных баз данных 
справочной правовой системы ГАРАНТ 
</t>
  </si>
  <si>
    <t>37</t>
  </si>
  <si>
    <t>300500</t>
  </si>
  <si>
    <t>Выполнение работ по строительству кабельной линии 10 кВ от РП-7 до ТП-10/0,4 кВ по ул. Попова, 167/1 и монтажу камеры КСО в РП-7 в г. Барнауле</t>
  </si>
  <si>
    <t>Выполнение работ по строительству кабельной линии 6 кВ от ГПП-110/6 кВ № 2 ООО «Барнаул РТИ» до ТП-1002 по ул. Э. Алексеевой, 61а в г. Барнауле (1-этап)</t>
  </si>
  <si>
    <t>Выполнение работ по строительству кабельной линии 6 кВ от ГПП-110/6 кВ № 2 ООО «Барнаул РТИ» до ТП-1002 по ул. Э. Алексеевой, 61а в г. Барнауле (2-этап)</t>
  </si>
  <si>
    <t>Выполнение работ по строительству кабельной линии 6 кВ от ТП-1002 по ул. Э. Алексеевой, 61а до ТП-1004 ул. Гущина, 150/2 в г. Барнауле (1 этап строительства)</t>
  </si>
  <si>
    <t>Выполнение работ по строительству кабельной линии 6 кВ от ТП-1002 по ул. Э. Алексеевой, 61а до ТП-1004 ул. Гущина, 150/2 в г. Барнауле (2 этап строительства)</t>
  </si>
  <si>
    <t>38</t>
  </si>
  <si>
    <t>39</t>
  </si>
  <si>
    <t xml:space="preserve">Поставка кабельной продукции в соответствии с техническим заданием </t>
  </si>
  <si>
    <t>40</t>
  </si>
  <si>
    <t>42</t>
  </si>
  <si>
    <t>43</t>
  </si>
  <si>
    <t>0</t>
  </si>
  <si>
    <t>44</t>
  </si>
  <si>
    <t xml:space="preserve">Выполнение работ по строительству КЛ-10 кВ от ТП "Парус" до ТП 10/04 кВ ул. Чехова,20
</t>
  </si>
  <si>
    <t>10.2017</t>
  </si>
  <si>
    <t xml:space="preserve"> Генеральный  директор                                                                              В.И.Тарасов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</si>
</sst>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mmm\ yyyy"/>
    <numFmt numFmtId="165" formatCode="_(* #,##0.00_);_(* \(#,##0.00\);_(* &quot;-&quot;??_);_(@_)"/>
    <numFmt numFmtId="166" formatCode="_(* #,##0_);_(* \(#,##0\);_(* &quot;-&quot;??_);_(@_)"/>
    <numFmt numFmtId="167" formatCode="[$-419]mmmm\ yyyy;@"/>
    <numFmt numFmtId="168" formatCode="_(* #,##0.000_);_(* \(#,##0.000\);_(* &quot;-&quot;??_);_(@_)"/>
    <numFmt numFmtId="169" formatCode="_(* #,##0.00000_);_(* \(#,##0.00000\);_(* &quot;-&quot;??_);_(@_)"/>
  </numFmts>
  <fonts count="38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vertAlign val="superscript"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i/>
      <sz val="11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u/>
      <sz val="8.5"/>
      <color indexed="12"/>
      <name val="Arial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8"/>
      <name val="Times New Roman"/>
      <family val="1"/>
      <charset val="204"/>
    </font>
    <font>
      <b/>
      <sz val="7"/>
      <name val="Times New Roman"/>
      <family val="1"/>
      <charset val="204"/>
    </font>
    <font>
      <sz val="7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Helv"/>
      <family val="2"/>
    </font>
    <font>
      <sz val="13"/>
      <name val="Times New Roman"/>
      <family val="1"/>
      <charset val="204"/>
    </font>
    <font>
      <u/>
      <sz val="8.5"/>
      <color indexed="12"/>
      <name val="Arial"/>
      <family val="2"/>
      <charset val="204"/>
    </font>
    <font>
      <i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8">
    <xf numFmtId="0" fontId="0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13" fillId="0" borderId="0"/>
    <xf numFmtId="9" fontId="16" fillId="0" borderId="0" applyFont="0" applyFill="0" applyBorder="0" applyAlignment="0" applyProtection="0"/>
    <xf numFmtId="0" fontId="32" fillId="0" borderId="0"/>
    <xf numFmtId="165" fontId="2" fillId="0" borderId="0" applyFont="0" applyFill="0" applyBorder="0" applyAlignment="0" applyProtection="0"/>
    <xf numFmtId="0" fontId="1" fillId="0" borderId="0"/>
  </cellStyleXfs>
  <cellXfs count="415"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4" fillId="0" borderId="0" xfId="0" applyFont="1" applyFill="1"/>
    <xf numFmtId="0" fontId="3" fillId="0" borderId="0" xfId="0" applyFont="1" applyFill="1" applyAlignment="1">
      <alignment horizontal="right"/>
    </xf>
    <xf numFmtId="0" fontId="5" fillId="0" borderId="0" xfId="0" applyFont="1" applyFill="1"/>
    <xf numFmtId="0" fontId="7" fillId="0" borderId="0" xfId="0" applyFont="1" applyFill="1"/>
    <xf numFmtId="0" fontId="8" fillId="0" borderId="0" xfId="0" applyFont="1" applyFill="1"/>
    <xf numFmtId="0" fontId="7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/>
    <xf numFmtId="0" fontId="4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left" vertical="center"/>
    </xf>
    <xf numFmtId="166" fontId="9" fillId="0" borderId="2" xfId="6" applyNumberFormat="1" applyFont="1" applyFill="1" applyBorder="1" applyAlignment="1">
      <alignment horizontal="center" vertical="center"/>
    </xf>
    <xf numFmtId="166" fontId="9" fillId="0" borderId="2" xfId="6" applyNumberFormat="1" applyFont="1" applyFill="1" applyBorder="1" applyAlignment="1">
      <alignment vertical="center"/>
    </xf>
    <xf numFmtId="166" fontId="4" fillId="0" borderId="2" xfId="6" applyNumberFormat="1" applyFont="1" applyFill="1" applyBorder="1" applyAlignment="1">
      <alignment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166" fontId="4" fillId="0" borderId="2" xfId="6" applyNumberFormat="1" applyFont="1" applyFill="1" applyBorder="1" applyAlignment="1">
      <alignment horizontal="center" vertical="center" wrapText="1"/>
    </xf>
    <xf numFmtId="0" fontId="3" fillId="0" borderId="2" xfId="0" applyFont="1" applyFill="1" applyBorder="1"/>
    <xf numFmtId="0" fontId="9" fillId="0" borderId="2" xfId="0" applyFont="1" applyFill="1" applyBorder="1" applyAlignment="1">
      <alignment horizontal="center" vertical="center" wrapText="1"/>
    </xf>
    <xf numFmtId="166" fontId="7" fillId="0" borderId="2" xfId="6" applyNumberFormat="1" applyFont="1" applyFill="1" applyBorder="1" applyAlignment="1">
      <alignment vertical="center" wrapText="1"/>
    </xf>
    <xf numFmtId="166" fontId="7" fillId="0" borderId="2" xfId="6" applyNumberFormat="1" applyFont="1" applyFill="1" applyBorder="1" applyAlignment="1">
      <alignment horizontal="center" vertical="center"/>
    </xf>
    <xf numFmtId="166" fontId="7" fillId="0" borderId="2" xfId="6" applyNumberFormat="1" applyFont="1" applyFill="1" applyBorder="1" applyAlignment="1">
      <alignment vertical="center"/>
    </xf>
    <xf numFmtId="166" fontId="4" fillId="0" borderId="2" xfId="6" applyNumberFormat="1" applyFont="1" applyFill="1" applyBorder="1" applyAlignment="1"/>
    <xf numFmtId="166" fontId="4" fillId="0" borderId="0" xfId="6" applyNumberFormat="1" applyFont="1" applyFill="1" applyBorder="1" applyAlignment="1"/>
    <xf numFmtId="166" fontId="10" fillId="0" borderId="3" xfId="6" applyNumberFormat="1" applyFont="1" applyFill="1" applyBorder="1" applyAlignment="1"/>
    <xf numFmtId="166" fontId="10" fillId="0" borderId="2" xfId="6" applyNumberFormat="1" applyFont="1" applyFill="1" applyBorder="1" applyAlignment="1"/>
    <xf numFmtId="166" fontId="4" fillId="0" borderId="4" xfId="6" applyNumberFormat="1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/>
    </xf>
    <xf numFmtId="166" fontId="4" fillId="0" borderId="2" xfId="6" applyNumberFormat="1" applyFont="1" applyFill="1" applyBorder="1" applyAlignment="1">
      <alignment vertical="center"/>
    </xf>
    <xf numFmtId="2" fontId="4" fillId="0" borderId="2" xfId="0" applyNumberFormat="1" applyFont="1" applyFill="1" applyBorder="1" applyAlignment="1">
      <alignment horizontal="center"/>
    </xf>
    <xf numFmtId="166" fontId="10" fillId="0" borderId="2" xfId="6" applyNumberFormat="1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/>
    <xf numFmtId="0" fontId="7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left" vertical="center"/>
    </xf>
    <xf numFmtId="166" fontId="7" fillId="0" borderId="2" xfId="6" applyNumberFormat="1" applyFont="1" applyFill="1" applyBorder="1" applyAlignment="1">
      <alignment horizontal="center" vertical="center" wrapText="1"/>
    </xf>
    <xf numFmtId="166" fontId="11" fillId="0" borderId="2" xfId="6" applyNumberFormat="1" applyFont="1" applyFill="1" applyBorder="1" applyAlignment="1">
      <alignment vertical="center"/>
    </xf>
    <xf numFmtId="164" fontId="7" fillId="0" borderId="2" xfId="0" applyNumberFormat="1" applyFont="1" applyFill="1" applyBorder="1" applyAlignment="1">
      <alignment horizontal="center" vertical="center" wrapText="1"/>
    </xf>
    <xf numFmtId="166" fontId="4" fillId="0" borderId="2" xfId="6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166" fontId="7" fillId="0" borderId="2" xfId="6" applyNumberFormat="1" applyFont="1" applyFill="1" applyBorder="1" applyAlignment="1"/>
    <xf numFmtId="0" fontId="12" fillId="0" borderId="2" xfId="0" applyFont="1" applyFill="1" applyBorder="1"/>
    <xf numFmtId="166" fontId="10" fillId="0" borderId="2" xfId="6" applyNumberFormat="1" applyFont="1" applyFill="1" applyBorder="1" applyAlignment="1">
      <alignment vertical="center" wrapText="1"/>
    </xf>
    <xf numFmtId="0" fontId="4" fillId="0" borderId="5" xfId="0" applyFont="1" applyFill="1" applyBorder="1"/>
    <xf numFmtId="0" fontId="4" fillId="0" borderId="5" xfId="0" applyFont="1" applyFill="1" applyBorder="1" applyAlignment="1">
      <alignment horizontal="center"/>
    </xf>
    <xf numFmtId="3" fontId="11" fillId="0" borderId="2" xfId="3" applyNumberFormat="1" applyFont="1" applyFill="1" applyBorder="1" applyAlignment="1">
      <alignment wrapText="1"/>
    </xf>
    <xf numFmtId="166" fontId="11" fillId="0" borderId="4" xfId="6" applyNumberFormat="1" applyFont="1" applyFill="1" applyBorder="1" applyAlignment="1">
      <alignment horizontal="center" wrapText="1"/>
    </xf>
    <xf numFmtId="166" fontId="11" fillId="0" borderId="4" xfId="6" applyNumberFormat="1" applyFont="1" applyFill="1" applyBorder="1" applyAlignment="1">
      <alignment wrapText="1"/>
    </xf>
    <xf numFmtId="3" fontId="14" fillId="0" borderId="2" xfId="3" applyNumberFormat="1" applyFont="1" applyFill="1" applyBorder="1" applyAlignment="1">
      <alignment horizontal="left" wrapText="1" indent="1"/>
    </xf>
    <xf numFmtId="166" fontId="10" fillId="0" borderId="4" xfId="6" applyNumberFormat="1" applyFont="1" applyFill="1" applyBorder="1" applyAlignment="1">
      <alignment horizontal="center" wrapText="1"/>
    </xf>
    <xf numFmtId="166" fontId="10" fillId="0" borderId="4" xfId="6" applyNumberFormat="1" applyFont="1" applyFill="1" applyBorder="1" applyAlignment="1">
      <alignment wrapText="1"/>
    </xf>
    <xf numFmtId="3" fontId="10" fillId="0" borderId="2" xfId="3" applyNumberFormat="1" applyFont="1" applyFill="1" applyBorder="1" applyAlignment="1">
      <alignment horizontal="left" wrapText="1" indent="1"/>
    </xf>
    <xf numFmtId="2" fontId="4" fillId="0" borderId="5" xfId="0" applyNumberFormat="1" applyFont="1" applyFill="1" applyBorder="1" applyAlignment="1">
      <alignment horizontal="center"/>
    </xf>
    <xf numFmtId="166" fontId="4" fillId="0" borderId="0" xfId="6" applyNumberFormat="1" applyFont="1" applyFill="1" applyAlignment="1"/>
    <xf numFmtId="166" fontId="11" fillId="0" borderId="2" xfId="6" applyNumberFormat="1" applyFont="1" applyFill="1" applyBorder="1" applyAlignment="1">
      <alignment wrapText="1"/>
    </xf>
    <xf numFmtId="166" fontId="9" fillId="0" borderId="2" xfId="6" applyNumberFormat="1" applyFont="1" applyFill="1" applyBorder="1" applyAlignment="1">
      <alignment horizontal="center" vertical="center" wrapText="1"/>
    </xf>
    <xf numFmtId="166" fontId="9" fillId="0" borderId="2" xfId="6" applyNumberFormat="1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left" vertical="center" wrapText="1"/>
    </xf>
    <xf numFmtId="166" fontId="11" fillId="0" borderId="3" xfId="6" applyNumberFormat="1" applyFont="1" applyFill="1" applyBorder="1" applyAlignment="1"/>
    <xf numFmtId="166" fontId="11" fillId="0" borderId="2" xfId="6" applyNumberFormat="1" applyFont="1" applyFill="1" applyBorder="1" applyAlignment="1"/>
    <xf numFmtId="166" fontId="4" fillId="0" borderId="3" xfId="6" applyNumberFormat="1" applyFont="1" applyFill="1" applyBorder="1" applyAlignment="1"/>
    <xf numFmtId="166" fontId="4" fillId="0" borderId="3" xfId="6" applyNumberFormat="1" applyFont="1" applyFill="1" applyBorder="1" applyAlignment="1">
      <alignment vertical="center" wrapText="1"/>
    </xf>
    <xf numFmtId="0" fontId="15" fillId="0" borderId="2" xfId="0" applyFont="1" applyFill="1" applyBorder="1" applyAlignment="1">
      <alignment horizontal="left" vertical="center" wrapText="1"/>
    </xf>
    <xf numFmtId="166" fontId="11" fillId="0" borderId="2" xfId="6" applyNumberFormat="1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left" vertical="center" wrapText="1"/>
    </xf>
    <xf numFmtId="165" fontId="4" fillId="0" borderId="2" xfId="6" applyNumberFormat="1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top" wrapText="1"/>
    </xf>
    <xf numFmtId="0" fontId="10" fillId="0" borderId="2" xfId="0" applyFont="1" applyFill="1" applyBorder="1" applyAlignment="1">
      <alignment horizontal="left" vertical="top" wrapText="1"/>
    </xf>
    <xf numFmtId="166" fontId="4" fillId="0" borderId="1" xfId="6" applyNumberFormat="1" applyFont="1" applyFill="1" applyBorder="1" applyAlignment="1"/>
    <xf numFmtId="166" fontId="4" fillId="0" borderId="5" xfId="6" applyNumberFormat="1" applyFont="1" applyFill="1" applyBorder="1" applyAlignment="1"/>
    <xf numFmtId="166" fontId="7" fillId="0" borderId="3" xfId="6" applyNumberFormat="1" applyFont="1" applyFill="1" applyBorder="1" applyAlignment="1"/>
    <xf numFmtId="166" fontId="7" fillId="0" borderId="4" xfId="6" applyNumberFormat="1" applyFont="1" applyFill="1" applyBorder="1" applyAlignment="1">
      <alignment vertical="center" wrapText="1"/>
    </xf>
    <xf numFmtId="166" fontId="3" fillId="0" borderId="0" xfId="0" applyNumberFormat="1" applyFont="1" applyFill="1"/>
    <xf numFmtId="165" fontId="4" fillId="0" borderId="4" xfId="6" applyNumberFormat="1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left" wrapText="1"/>
    </xf>
    <xf numFmtId="166" fontId="4" fillId="0" borderId="2" xfId="6" applyNumberFormat="1" applyFont="1" applyFill="1" applyBorder="1" applyAlignment="1">
      <alignment horizontal="center" wrapText="1"/>
    </xf>
    <xf numFmtId="166" fontId="4" fillId="0" borderId="4" xfId="6" applyNumberFormat="1" applyFont="1" applyFill="1" applyBorder="1" applyAlignment="1">
      <alignment wrapText="1"/>
    </xf>
    <xf numFmtId="166" fontId="4" fillId="0" borderId="2" xfId="6" applyNumberFormat="1" applyFont="1" applyFill="1" applyBorder="1" applyAlignment="1">
      <alignment wrapText="1"/>
    </xf>
    <xf numFmtId="166" fontId="4" fillId="0" borderId="0" xfId="0" applyNumberFormat="1" applyFont="1" applyFill="1"/>
    <xf numFmtId="166" fontId="7" fillId="0" borderId="0" xfId="0" applyNumberFormat="1" applyFont="1" applyFill="1"/>
    <xf numFmtId="0" fontId="7" fillId="0" borderId="0" xfId="0" applyFont="1" applyFill="1" applyAlignment="1">
      <alignment horizontal="center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19" fillId="0" borderId="5" xfId="0" applyFont="1" applyBorder="1" applyAlignment="1">
      <alignment horizontal="left"/>
    </xf>
    <xf numFmtId="0" fontId="18" fillId="0" borderId="0" xfId="0" applyFont="1" applyAlignment="1"/>
    <xf numFmtId="49" fontId="19" fillId="0" borderId="6" xfId="0" applyNumberFormat="1" applyFont="1" applyFill="1" applyBorder="1" applyAlignment="1"/>
    <xf numFmtId="0" fontId="19" fillId="0" borderId="0" xfId="0" applyFont="1" applyAlignment="1"/>
    <xf numFmtId="0" fontId="19" fillId="0" borderId="7" xfId="0" applyFont="1" applyBorder="1" applyAlignment="1"/>
    <xf numFmtId="0" fontId="19" fillId="0" borderId="4" xfId="0" applyFont="1" applyBorder="1" applyAlignment="1"/>
    <xf numFmtId="0" fontId="19" fillId="0" borderId="7" xfId="0" applyFont="1" applyFill="1" applyBorder="1" applyAlignment="1"/>
    <xf numFmtId="0" fontId="19" fillId="0" borderId="4" xfId="0" applyFont="1" applyFill="1" applyBorder="1" applyAlignment="1"/>
    <xf numFmtId="49" fontId="19" fillId="0" borderId="7" xfId="0" applyNumberFormat="1" applyFont="1" applyFill="1" applyBorder="1" applyAlignment="1"/>
    <xf numFmtId="49" fontId="19" fillId="0" borderId="4" xfId="0" applyNumberFormat="1" applyFont="1" applyFill="1" applyBorder="1" applyAlignment="1"/>
    <xf numFmtId="49" fontId="20" fillId="0" borderId="5" xfId="0" applyNumberFormat="1" applyFont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7" fillId="0" borderId="7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 wrapText="1"/>
    </xf>
    <xf numFmtId="0" fontId="18" fillId="0" borderId="0" xfId="0" applyFont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9" fillId="0" borderId="7" xfId="0" applyFont="1" applyBorder="1" applyAlignment="1">
      <alignment horizontal="center"/>
    </xf>
    <xf numFmtId="0" fontId="4" fillId="0" borderId="2" xfId="0" applyFont="1" applyFill="1" applyBorder="1" applyAlignment="1">
      <alignment horizontal="center" wrapText="1"/>
    </xf>
    <xf numFmtId="3" fontId="10" fillId="0" borderId="4" xfId="3" applyNumberFormat="1" applyFont="1" applyFill="1" applyBorder="1" applyAlignment="1">
      <alignment horizontal="center" wrapText="1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19" fillId="0" borderId="0" xfId="0" applyNumberFormat="1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49" fontId="19" fillId="0" borderId="7" xfId="0" applyNumberFormat="1" applyFont="1" applyBorder="1" applyAlignment="1">
      <alignment vertical="center"/>
    </xf>
    <xf numFmtId="0" fontId="19" fillId="0" borderId="7" xfId="0" applyFont="1" applyBorder="1" applyAlignment="1">
      <alignment horizontal="center" vertical="center"/>
    </xf>
    <xf numFmtId="49" fontId="20" fillId="0" borderId="2" xfId="0" applyNumberFormat="1" applyFont="1" applyBorder="1" applyAlignment="1">
      <alignment horizontal="center" vertical="center"/>
    </xf>
    <xf numFmtId="49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7" fillId="0" borderId="5" xfId="0" applyFont="1" applyFill="1" applyBorder="1" applyAlignment="1">
      <alignment horizontal="center" vertical="center" wrapText="1"/>
    </xf>
    <xf numFmtId="166" fontId="4" fillId="0" borderId="2" xfId="6" applyNumberFormat="1" applyFont="1" applyFill="1" applyBorder="1" applyAlignment="1">
      <alignment horizontal="center"/>
    </xf>
    <xf numFmtId="166" fontId="4" fillId="0" borderId="0" xfId="6" applyNumberFormat="1" applyFont="1" applyFill="1" applyAlignment="1">
      <alignment horizontal="center"/>
    </xf>
    <xf numFmtId="166" fontId="4" fillId="0" borderId="5" xfId="6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 vertical="center" wrapText="1"/>
    </xf>
    <xf numFmtId="166" fontId="10" fillId="0" borderId="10" xfId="6" applyNumberFormat="1" applyFont="1" applyFill="1" applyBorder="1" applyAlignment="1"/>
    <xf numFmtId="166" fontId="11" fillId="0" borderId="10" xfId="6" applyNumberFormat="1" applyFont="1" applyFill="1" applyBorder="1" applyAlignment="1"/>
    <xf numFmtId="166" fontId="10" fillId="0" borderId="4" xfId="6" applyNumberFormat="1" applyFont="1" applyFill="1" applyBorder="1" applyAlignment="1"/>
    <xf numFmtId="166" fontId="4" fillId="0" borderId="11" xfId="6" applyNumberFormat="1" applyFont="1" applyFill="1" applyBorder="1" applyAlignment="1"/>
    <xf numFmtId="166" fontId="11" fillId="0" borderId="4" xfId="6" applyNumberFormat="1" applyFont="1" applyFill="1" applyBorder="1" applyAlignment="1"/>
    <xf numFmtId="49" fontId="4" fillId="0" borderId="5" xfId="0" applyNumberFormat="1" applyFont="1" applyFill="1" applyBorder="1" applyAlignment="1">
      <alignment horizontal="center"/>
    </xf>
    <xf numFmtId="49" fontId="7" fillId="0" borderId="5" xfId="0" applyNumberFormat="1" applyFont="1" applyFill="1" applyBorder="1" applyAlignment="1">
      <alignment horizontal="center"/>
    </xf>
    <xf numFmtId="49" fontId="7" fillId="2" borderId="5" xfId="0" applyNumberFormat="1" applyFont="1" applyFill="1" applyBorder="1" applyAlignment="1">
      <alignment horizontal="center"/>
    </xf>
    <xf numFmtId="0" fontId="3" fillId="0" borderId="0" xfId="0" applyFont="1" applyFill="1" applyAlignment="1"/>
    <xf numFmtId="3" fontId="20" fillId="0" borderId="2" xfId="0" applyNumberFormat="1" applyFont="1" applyBorder="1" applyAlignment="1">
      <alignment horizontal="center" vertical="center" wrapText="1"/>
    </xf>
    <xf numFmtId="3" fontId="20" fillId="0" borderId="2" xfId="0" applyNumberFormat="1" applyFont="1" applyBorder="1" applyAlignment="1">
      <alignment horizontal="center"/>
    </xf>
    <xf numFmtId="3" fontId="7" fillId="0" borderId="1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Alignment="1">
      <alignment horizontal="center"/>
    </xf>
    <xf numFmtId="3" fontId="18" fillId="0" borderId="0" xfId="0" applyNumberFormat="1" applyFont="1" applyAlignment="1">
      <alignment horizontal="center"/>
    </xf>
    <xf numFmtId="3" fontId="19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3" fontId="19" fillId="0" borderId="7" xfId="0" applyNumberFormat="1" applyFont="1" applyBorder="1" applyAlignment="1">
      <alignment horizontal="center"/>
    </xf>
    <xf numFmtId="3" fontId="7" fillId="0" borderId="7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/>
    </xf>
    <xf numFmtId="3" fontId="3" fillId="0" borderId="2" xfId="0" applyNumberFormat="1" applyFont="1" applyFill="1" applyBorder="1" applyAlignment="1">
      <alignment horizontal="center" wrapText="1"/>
    </xf>
    <xf numFmtId="3" fontId="10" fillId="0" borderId="4" xfId="6" applyNumberFormat="1" applyFont="1" applyFill="1" applyBorder="1" applyAlignment="1">
      <alignment horizontal="center" wrapText="1"/>
    </xf>
    <xf numFmtId="3" fontId="4" fillId="0" borderId="3" xfId="6" applyNumberFormat="1" applyFont="1" applyFill="1" applyBorder="1" applyAlignment="1">
      <alignment horizontal="center"/>
    </xf>
    <xf numFmtId="3" fontId="4" fillId="0" borderId="5" xfId="6" applyNumberFormat="1" applyFont="1" applyFill="1" applyBorder="1" applyAlignment="1">
      <alignment horizontal="center"/>
    </xf>
    <xf numFmtId="49" fontId="8" fillId="2" borderId="2" xfId="0" applyNumberFormat="1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left" wrapText="1"/>
    </xf>
    <xf numFmtId="0" fontId="7" fillId="2" borderId="2" xfId="0" applyFont="1" applyFill="1" applyBorder="1" applyAlignment="1">
      <alignment horizontal="center" wrapText="1"/>
    </xf>
    <xf numFmtId="166" fontId="7" fillId="2" borderId="2" xfId="6" applyNumberFormat="1" applyFont="1" applyFill="1" applyBorder="1" applyAlignment="1">
      <alignment horizontal="center" wrapText="1"/>
    </xf>
    <xf numFmtId="3" fontId="7" fillId="2" borderId="2" xfId="6" applyNumberFormat="1" applyFont="1" applyFill="1" applyBorder="1" applyAlignment="1">
      <alignment horizontal="center" wrapText="1"/>
    </xf>
    <xf numFmtId="166" fontId="7" fillId="2" borderId="2" xfId="6" applyNumberFormat="1" applyFont="1" applyFill="1" applyBorder="1" applyAlignment="1">
      <alignment wrapText="1"/>
    </xf>
    <xf numFmtId="164" fontId="7" fillId="2" borderId="2" xfId="0" applyNumberFormat="1" applyFont="1" applyFill="1" applyBorder="1" applyAlignment="1">
      <alignment horizontal="center" wrapText="1"/>
    </xf>
    <xf numFmtId="0" fontId="8" fillId="0" borderId="0" xfId="0" applyFont="1" applyFill="1" applyAlignment="1"/>
    <xf numFmtId="49" fontId="3" fillId="0" borderId="2" xfId="0" applyNumberFormat="1" applyFont="1" applyFill="1" applyBorder="1" applyAlignment="1">
      <alignment horizontal="center"/>
    </xf>
    <xf numFmtId="167" fontId="4" fillId="0" borderId="2" xfId="6" applyNumberFormat="1" applyFont="1" applyFill="1" applyBorder="1" applyAlignment="1">
      <alignment horizontal="center" wrapText="1"/>
    </xf>
    <xf numFmtId="164" fontId="4" fillId="0" borderId="2" xfId="0" applyNumberFormat="1" applyFont="1" applyFill="1" applyBorder="1" applyAlignment="1">
      <alignment horizontal="center" wrapText="1"/>
    </xf>
    <xf numFmtId="0" fontId="4" fillId="0" borderId="0" xfId="0" applyFont="1" applyFill="1" applyAlignment="1"/>
    <xf numFmtId="3" fontId="4" fillId="0" borderId="2" xfId="6" applyNumberFormat="1" applyFont="1" applyFill="1" applyBorder="1" applyAlignment="1">
      <alignment horizontal="center" wrapText="1"/>
    </xf>
    <xf numFmtId="166" fontId="7" fillId="0" borderId="2" xfId="6" applyNumberFormat="1" applyFont="1" applyFill="1" applyBorder="1" applyAlignment="1">
      <alignment wrapText="1"/>
    </xf>
    <xf numFmtId="166" fontId="4" fillId="0" borderId="0" xfId="0" applyNumberFormat="1" applyFont="1" applyFill="1" applyAlignment="1"/>
    <xf numFmtId="0" fontId="10" fillId="0" borderId="2" xfId="0" applyFont="1" applyFill="1" applyBorder="1" applyAlignment="1">
      <alignment horizontal="left" wrapText="1"/>
    </xf>
    <xf numFmtId="0" fontId="10" fillId="0" borderId="2" xfId="0" applyFont="1" applyFill="1" applyBorder="1" applyAlignment="1">
      <alignment horizontal="left"/>
    </xf>
    <xf numFmtId="166" fontId="4" fillId="0" borderId="4" xfId="6" applyNumberFormat="1" applyFont="1" applyFill="1" applyBorder="1" applyAlignment="1"/>
    <xf numFmtId="49" fontId="8" fillId="0" borderId="2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left"/>
    </xf>
    <xf numFmtId="166" fontId="7" fillId="0" borderId="2" xfId="6" applyNumberFormat="1" applyFont="1" applyFill="1" applyBorder="1" applyAlignment="1">
      <alignment horizontal="center" wrapText="1"/>
    </xf>
    <xf numFmtId="166" fontId="7" fillId="0" borderId="2" xfId="6" applyNumberFormat="1" applyFont="1" applyFill="1" applyBorder="1" applyAlignment="1">
      <alignment horizontal="center"/>
    </xf>
    <xf numFmtId="3" fontId="7" fillId="0" borderId="2" xfId="6" applyNumberFormat="1" applyFont="1" applyFill="1" applyBorder="1" applyAlignment="1">
      <alignment horizontal="center"/>
    </xf>
    <xf numFmtId="164" fontId="7" fillId="0" borderId="2" xfId="0" applyNumberFormat="1" applyFont="1" applyFill="1" applyBorder="1" applyAlignment="1">
      <alignment horizontal="center" wrapText="1"/>
    </xf>
    <xf numFmtId="166" fontId="7" fillId="0" borderId="0" xfId="0" applyNumberFormat="1" applyFont="1" applyFill="1" applyAlignment="1"/>
    <xf numFmtId="0" fontId="7" fillId="0" borderId="0" xfId="0" applyFont="1" applyFill="1" applyAlignment="1"/>
    <xf numFmtId="0" fontId="10" fillId="0" borderId="2" xfId="0" applyFont="1" applyFill="1" applyBorder="1" applyAlignment="1">
      <alignment horizontal="center"/>
    </xf>
    <xf numFmtId="3" fontId="4" fillId="0" borderId="2" xfId="6" applyNumberFormat="1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/>
    </xf>
    <xf numFmtId="0" fontId="12" fillId="0" borderId="2" xfId="0" applyFont="1" applyFill="1" applyBorder="1" applyAlignment="1"/>
    <xf numFmtId="166" fontId="10" fillId="0" borderId="2" xfId="6" applyNumberFormat="1" applyFont="1" applyFill="1" applyBorder="1" applyAlignment="1">
      <alignment wrapText="1"/>
    </xf>
    <xf numFmtId="166" fontId="10" fillId="0" borderId="1" xfId="6" applyNumberFormat="1" applyFont="1" applyFill="1" applyBorder="1" applyAlignment="1">
      <alignment horizontal="center"/>
    </xf>
    <xf numFmtId="166" fontId="10" fillId="0" borderId="3" xfId="6" applyNumberFormat="1" applyFont="1" applyFill="1" applyBorder="1" applyAlignment="1">
      <alignment horizontal="center"/>
    </xf>
    <xf numFmtId="0" fontId="3" fillId="0" borderId="2" xfId="0" applyFont="1" applyFill="1" applyBorder="1" applyAlignment="1"/>
    <xf numFmtId="166" fontId="4" fillId="0" borderId="1" xfId="6" applyNumberFormat="1" applyFont="1" applyFill="1" applyBorder="1" applyAlignment="1">
      <alignment horizontal="center"/>
    </xf>
    <xf numFmtId="166" fontId="4" fillId="0" borderId="12" xfId="6" applyNumberFormat="1" applyFont="1" applyFill="1" applyBorder="1" applyAlignment="1">
      <alignment horizontal="center"/>
    </xf>
    <xf numFmtId="166" fontId="4" fillId="0" borderId="3" xfId="6" applyNumberFormat="1" applyFont="1" applyFill="1" applyBorder="1" applyAlignment="1">
      <alignment horizontal="center"/>
    </xf>
    <xf numFmtId="3" fontId="10" fillId="0" borderId="2" xfId="3" applyNumberFormat="1" applyFont="1" applyFill="1" applyBorder="1" applyAlignment="1">
      <alignment horizontal="left" wrapText="1"/>
    </xf>
    <xf numFmtId="3" fontId="10" fillId="0" borderId="4" xfId="3" applyNumberFormat="1" applyFont="1" applyFill="1" applyBorder="1" applyAlignment="1">
      <alignment horizontal="left" wrapText="1"/>
    </xf>
    <xf numFmtId="0" fontId="9" fillId="0" borderId="2" xfId="0" applyFont="1" applyFill="1" applyBorder="1" applyAlignment="1">
      <alignment horizontal="center" wrapText="1"/>
    </xf>
    <xf numFmtId="166" fontId="9" fillId="0" borderId="2" xfId="6" applyNumberFormat="1" applyFont="1" applyFill="1" applyBorder="1" applyAlignment="1">
      <alignment horizontal="center" wrapText="1"/>
    </xf>
    <xf numFmtId="3" fontId="9" fillId="0" borderId="2" xfId="6" applyNumberFormat="1" applyFont="1" applyFill="1" applyBorder="1" applyAlignment="1">
      <alignment horizontal="center" wrapText="1"/>
    </xf>
    <xf numFmtId="166" fontId="9" fillId="0" borderId="2" xfId="6" applyNumberFormat="1" applyFont="1" applyFill="1" applyBorder="1" applyAlignment="1">
      <alignment wrapText="1"/>
    </xf>
    <xf numFmtId="0" fontId="4" fillId="0" borderId="2" xfId="0" applyFont="1" applyFill="1" applyBorder="1" applyAlignment="1">
      <alignment wrapText="1"/>
    </xf>
    <xf numFmtId="0" fontId="7" fillId="0" borderId="2" xfId="0" applyFont="1" applyFill="1" applyBorder="1" applyAlignment="1">
      <alignment horizontal="left" wrapText="1"/>
    </xf>
    <xf numFmtId="0" fontId="7" fillId="0" borderId="2" xfId="0" applyFont="1" applyFill="1" applyBorder="1" applyAlignment="1">
      <alignment horizontal="center" wrapText="1"/>
    </xf>
    <xf numFmtId="166" fontId="4" fillId="0" borderId="3" xfId="6" applyNumberFormat="1" applyFont="1" applyFill="1" applyBorder="1" applyAlignment="1">
      <alignment wrapText="1"/>
    </xf>
    <xf numFmtId="0" fontId="15" fillId="0" borderId="2" xfId="0" applyFont="1" applyFill="1" applyBorder="1" applyAlignment="1">
      <alignment horizontal="left" wrapText="1"/>
    </xf>
    <xf numFmtId="0" fontId="15" fillId="0" borderId="2" xfId="0" applyFont="1" applyFill="1" applyBorder="1" applyAlignment="1">
      <alignment horizontal="center" wrapText="1"/>
    </xf>
    <xf numFmtId="3" fontId="7" fillId="0" borderId="2" xfId="6" applyNumberFormat="1" applyFont="1" applyFill="1" applyBorder="1" applyAlignment="1">
      <alignment horizontal="center" wrapText="1"/>
    </xf>
    <xf numFmtId="166" fontId="4" fillId="0" borderId="0" xfId="6" applyNumberFormat="1" applyFont="1" applyFill="1" applyBorder="1" applyAlignment="1">
      <alignment wrapText="1"/>
    </xf>
    <xf numFmtId="166" fontId="10" fillId="0" borderId="2" xfId="6" applyNumberFormat="1" applyFont="1" applyFill="1" applyBorder="1" applyAlignment="1">
      <alignment horizontal="center" wrapText="1"/>
    </xf>
    <xf numFmtId="0" fontId="4" fillId="0" borderId="2" xfId="0" applyFont="1" applyFill="1" applyBorder="1" applyAlignment="1"/>
    <xf numFmtId="165" fontId="4" fillId="0" borderId="2" xfId="6" applyNumberFormat="1" applyFont="1" applyFill="1" applyBorder="1" applyAlignment="1">
      <alignment wrapText="1"/>
    </xf>
    <xf numFmtId="0" fontId="10" fillId="0" borderId="2" xfId="0" applyFont="1" applyFill="1" applyBorder="1" applyAlignment="1">
      <alignment wrapText="1"/>
    </xf>
    <xf numFmtId="0" fontId="10" fillId="0" borderId="2" xfId="0" applyFont="1" applyFill="1" applyBorder="1" applyAlignment="1">
      <alignment horizontal="center" wrapText="1"/>
    </xf>
    <xf numFmtId="165" fontId="4" fillId="0" borderId="4" xfId="6" applyNumberFormat="1" applyFont="1" applyFill="1" applyBorder="1" applyAlignment="1">
      <alignment wrapText="1"/>
    </xf>
    <xf numFmtId="0" fontId="9" fillId="0" borderId="2" xfId="0" applyFont="1" applyFill="1" applyBorder="1" applyAlignment="1">
      <alignment horizontal="left" wrapText="1"/>
    </xf>
    <xf numFmtId="166" fontId="7" fillId="0" borderId="4" xfId="6" applyNumberFormat="1" applyFont="1" applyFill="1" applyBorder="1" applyAlignment="1">
      <alignment wrapText="1"/>
    </xf>
    <xf numFmtId="0" fontId="4" fillId="3" borderId="2" xfId="0" applyFont="1" applyFill="1" applyBorder="1" applyAlignment="1">
      <alignment horizontal="left" wrapText="1"/>
    </xf>
    <xf numFmtId="49" fontId="4" fillId="4" borderId="5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left" wrapText="1"/>
    </xf>
    <xf numFmtId="166" fontId="4" fillId="4" borderId="2" xfId="6" applyNumberFormat="1" applyFont="1" applyFill="1" applyBorder="1" applyAlignment="1">
      <alignment horizontal="center" wrapText="1"/>
    </xf>
    <xf numFmtId="3" fontId="3" fillId="4" borderId="2" xfId="0" applyNumberFormat="1" applyFont="1" applyFill="1" applyBorder="1" applyAlignment="1">
      <alignment horizontal="center"/>
    </xf>
    <xf numFmtId="166" fontId="4" fillId="4" borderId="2" xfId="6" applyNumberFormat="1" applyFont="1" applyFill="1" applyBorder="1" applyAlignment="1">
      <alignment wrapText="1"/>
    </xf>
    <xf numFmtId="164" fontId="4" fillId="4" borderId="2" xfId="0" applyNumberFormat="1" applyFont="1" applyFill="1" applyBorder="1" applyAlignment="1">
      <alignment horizontal="center" wrapText="1"/>
    </xf>
    <xf numFmtId="0" fontId="4" fillId="4" borderId="0" xfId="0" applyFont="1" applyFill="1" applyAlignment="1"/>
    <xf numFmtId="0" fontId="3" fillId="4" borderId="0" xfId="0" applyFont="1" applyFill="1" applyAlignment="1"/>
    <xf numFmtId="3" fontId="10" fillId="0" borderId="2" xfId="3" applyNumberFormat="1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 wrapText="1"/>
    </xf>
    <xf numFmtId="0" fontId="8" fillId="0" borderId="0" xfId="0" applyFont="1" applyFill="1" applyBorder="1" applyAlignment="1"/>
    <xf numFmtId="166" fontId="7" fillId="0" borderId="0" xfId="6" applyNumberFormat="1" applyFont="1" applyFill="1" applyBorder="1" applyAlignment="1">
      <alignment wrapText="1"/>
    </xf>
    <xf numFmtId="49" fontId="7" fillId="2" borderId="2" xfId="0" applyNumberFormat="1" applyFont="1" applyFill="1" applyBorder="1" applyAlignment="1">
      <alignment horizontal="center"/>
    </xf>
    <xf numFmtId="166" fontId="10" fillId="0" borderId="2" xfId="6" applyNumberFormat="1" applyFont="1" applyFill="1" applyBorder="1" applyAlignment="1">
      <alignment horizontal="center"/>
    </xf>
    <xf numFmtId="49" fontId="4" fillId="4" borderId="2" xfId="0" applyNumberFormat="1" applyFont="1" applyFill="1" applyBorder="1" applyAlignment="1">
      <alignment horizontal="center"/>
    </xf>
    <xf numFmtId="49" fontId="20" fillId="0" borderId="2" xfId="0" applyNumberFormat="1" applyFont="1" applyBorder="1" applyAlignment="1">
      <alignment horizontal="center"/>
    </xf>
    <xf numFmtId="0" fontId="19" fillId="0" borderId="7" xfId="0" applyFont="1" applyBorder="1" applyAlignment="1">
      <alignment horizontal="left"/>
    </xf>
    <xf numFmtId="166" fontId="8" fillId="0" borderId="0" xfId="0" applyNumberFormat="1" applyFont="1" applyFill="1" applyBorder="1" applyAlignment="1"/>
    <xf numFmtId="166" fontId="8" fillId="4" borderId="0" xfId="0" applyNumberFormat="1" applyFont="1" applyFill="1" applyBorder="1" applyAlignment="1"/>
    <xf numFmtId="168" fontId="8" fillId="0" borderId="0" xfId="0" applyNumberFormat="1" applyFont="1" applyFill="1" applyBorder="1" applyAlignment="1"/>
    <xf numFmtId="169" fontId="8" fillId="0" borderId="0" xfId="0" applyNumberFormat="1" applyFont="1" applyFill="1" applyBorder="1" applyAlignment="1"/>
    <xf numFmtId="164" fontId="24" fillId="0" borderId="2" xfId="0" applyNumberFormat="1" applyFont="1" applyFill="1" applyBorder="1" applyAlignment="1">
      <alignment horizontal="center" wrapText="1"/>
    </xf>
    <xf numFmtId="166" fontId="4" fillId="3" borderId="2" xfId="6" applyNumberFormat="1" applyFont="1" applyFill="1" applyBorder="1" applyAlignment="1">
      <alignment horizontal="center" wrapText="1"/>
    </xf>
    <xf numFmtId="166" fontId="4" fillId="3" borderId="2" xfId="6" applyNumberFormat="1" applyFont="1" applyFill="1" applyBorder="1" applyAlignment="1">
      <alignment wrapText="1"/>
    </xf>
    <xf numFmtId="166" fontId="8" fillId="2" borderId="2" xfId="6" applyNumberFormat="1" applyFont="1" applyFill="1" applyBorder="1" applyAlignment="1">
      <alignment wrapText="1"/>
    </xf>
    <xf numFmtId="167" fontId="3" fillId="0" borderId="2" xfId="6" applyNumberFormat="1" applyFont="1" applyFill="1" applyBorder="1" applyAlignment="1">
      <alignment horizontal="center" wrapText="1"/>
    </xf>
    <xf numFmtId="166" fontId="12" fillId="0" borderId="2" xfId="6" applyNumberFormat="1" applyFont="1" applyFill="1" applyBorder="1" applyAlignment="1">
      <alignment horizontal="center"/>
    </xf>
    <xf numFmtId="166" fontId="12" fillId="0" borderId="2" xfId="6" applyNumberFormat="1" applyFont="1" applyFill="1" applyBorder="1" applyAlignment="1"/>
    <xf numFmtId="166" fontId="3" fillId="0" borderId="2" xfId="6" applyNumberFormat="1" applyFont="1" applyFill="1" applyBorder="1" applyAlignment="1"/>
    <xf numFmtId="166" fontId="3" fillId="0" borderId="2" xfId="6" applyNumberFormat="1" applyFont="1" applyFill="1" applyBorder="1" applyAlignment="1">
      <alignment wrapText="1"/>
    </xf>
    <xf numFmtId="166" fontId="12" fillId="0" borderId="2" xfId="6" applyNumberFormat="1" applyFont="1" applyFill="1" applyBorder="1" applyAlignment="1">
      <alignment wrapText="1"/>
    </xf>
    <xf numFmtId="166" fontId="12" fillId="4" borderId="2" xfId="6" applyNumberFormat="1" applyFont="1" applyFill="1" applyBorder="1" applyAlignment="1">
      <alignment horizontal="center"/>
    </xf>
    <xf numFmtId="166" fontId="3" fillId="4" borderId="2" xfId="6" applyNumberFormat="1" applyFont="1" applyFill="1" applyBorder="1" applyAlignment="1">
      <alignment wrapText="1"/>
    </xf>
    <xf numFmtId="0" fontId="19" fillId="0" borderId="0" xfId="0" applyFont="1"/>
    <xf numFmtId="166" fontId="25" fillId="2" borderId="2" xfId="6" applyNumberFormat="1" applyFont="1" applyFill="1" applyBorder="1" applyAlignment="1">
      <alignment wrapText="1"/>
    </xf>
    <xf numFmtId="166" fontId="26" fillId="0" borderId="2" xfId="6" applyNumberFormat="1" applyFont="1" applyFill="1" applyBorder="1" applyAlignment="1">
      <alignment wrapText="1"/>
    </xf>
    <xf numFmtId="166" fontId="27" fillId="0" borderId="2" xfId="6" applyNumberFormat="1" applyFont="1" applyFill="1" applyBorder="1" applyAlignment="1"/>
    <xf numFmtId="166" fontId="26" fillId="0" borderId="2" xfId="6" applyNumberFormat="1" applyFont="1" applyFill="1" applyBorder="1" applyAlignment="1"/>
    <xf numFmtId="166" fontId="27" fillId="0" borderId="2" xfId="6" applyNumberFormat="1" applyFont="1" applyFill="1" applyBorder="1" applyAlignment="1">
      <alignment horizontal="center"/>
    </xf>
    <xf numFmtId="166" fontId="26" fillId="0" borderId="2" xfId="6" applyNumberFormat="1" applyFont="1" applyFill="1" applyBorder="1" applyAlignment="1">
      <alignment horizontal="center"/>
    </xf>
    <xf numFmtId="0" fontId="26" fillId="0" borderId="2" xfId="0" applyFont="1" applyFill="1" applyBorder="1" applyAlignment="1">
      <alignment horizontal="left" wrapText="1"/>
    </xf>
    <xf numFmtId="166" fontId="26" fillId="4" borderId="2" xfId="6" applyNumberFormat="1" applyFont="1" applyFill="1" applyBorder="1" applyAlignment="1">
      <alignment wrapText="1"/>
    </xf>
    <xf numFmtId="166" fontId="26" fillId="0" borderId="0" xfId="0" applyNumberFormat="1" applyFont="1" applyFill="1"/>
    <xf numFmtId="0" fontId="26" fillId="0" borderId="0" xfId="0" applyFont="1" applyFill="1"/>
    <xf numFmtId="0" fontId="28" fillId="2" borderId="2" xfId="0" applyFont="1" applyFill="1" applyBorder="1" applyAlignment="1">
      <alignment horizontal="left" wrapText="1"/>
    </xf>
    <xf numFmtId="0" fontId="20" fillId="0" borderId="2" xfId="0" applyFont="1" applyFill="1" applyBorder="1" applyAlignment="1">
      <alignment horizontal="left" wrapText="1"/>
    </xf>
    <xf numFmtId="0" fontId="29" fillId="0" borderId="2" xfId="0" applyFont="1" applyFill="1" applyBorder="1" applyAlignment="1">
      <alignment horizontal="left" wrapText="1"/>
    </xf>
    <xf numFmtId="0" fontId="20" fillId="0" borderId="2" xfId="0" applyFont="1" applyFill="1" applyBorder="1" applyAlignment="1">
      <alignment horizontal="left"/>
    </xf>
    <xf numFmtId="0" fontId="20" fillId="3" borderId="2" xfId="0" applyFont="1" applyFill="1" applyBorder="1" applyAlignment="1">
      <alignment horizontal="left" wrapText="1"/>
    </xf>
    <xf numFmtId="3" fontId="29" fillId="0" borderId="2" xfId="3" applyNumberFormat="1" applyFont="1" applyFill="1" applyBorder="1" applyAlignment="1">
      <alignment horizontal="left" wrapText="1"/>
    </xf>
    <xf numFmtId="0" fontId="20" fillId="0" borderId="2" xfId="0" applyFont="1" applyFill="1" applyBorder="1" applyAlignment="1">
      <alignment wrapText="1"/>
    </xf>
    <xf numFmtId="0" fontId="20" fillId="0" borderId="2" xfId="0" applyFont="1" applyFill="1" applyBorder="1" applyAlignment="1">
      <alignment horizontal="left" wrapText="1" indent="1"/>
    </xf>
    <xf numFmtId="0" fontId="20" fillId="3" borderId="2" xfId="0" applyFont="1" applyFill="1" applyBorder="1" applyAlignment="1">
      <alignment horizontal="left" wrapText="1" indent="1"/>
    </xf>
    <xf numFmtId="0" fontId="20" fillId="4" borderId="2" xfId="0" applyFont="1" applyFill="1" applyBorder="1" applyAlignment="1">
      <alignment horizontal="left" wrapText="1"/>
    </xf>
    <xf numFmtId="0" fontId="20" fillId="0" borderId="2" xfId="0" applyFont="1" applyFill="1" applyBorder="1" applyAlignment="1"/>
    <xf numFmtId="0" fontId="29" fillId="0" borderId="2" xfId="0" applyFont="1" applyFill="1" applyBorder="1" applyAlignment="1">
      <alignment wrapText="1"/>
    </xf>
    <xf numFmtId="0" fontId="20" fillId="0" borderId="0" xfId="0" applyFont="1" applyFill="1"/>
    <xf numFmtId="167" fontId="8" fillId="2" borderId="2" xfId="6" applyNumberFormat="1" applyFont="1" applyFill="1" applyBorder="1" applyAlignment="1">
      <alignment horizontal="center" wrapText="1"/>
    </xf>
    <xf numFmtId="166" fontId="31" fillId="2" borderId="2" xfId="6" applyNumberFormat="1" applyFont="1" applyFill="1" applyBorder="1" applyAlignment="1">
      <alignment horizontal="center"/>
    </xf>
    <xf numFmtId="166" fontId="8" fillId="2" borderId="2" xfId="6" applyNumberFormat="1" applyFont="1" applyFill="1" applyBorder="1" applyAlignment="1">
      <alignment horizontal="center" wrapText="1"/>
    </xf>
    <xf numFmtId="166" fontId="12" fillId="0" borderId="2" xfId="6" applyNumberFormat="1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left" wrapText="1"/>
    </xf>
    <xf numFmtId="0" fontId="8" fillId="2" borderId="2" xfId="0" applyFont="1" applyFill="1" applyBorder="1" applyAlignment="1">
      <alignment horizontal="center" wrapText="1"/>
    </xf>
    <xf numFmtId="3" fontId="8" fillId="2" borderId="2" xfId="6" applyNumberFormat="1" applyFont="1" applyFill="1" applyBorder="1" applyAlignment="1">
      <alignment horizontal="center" wrapText="1"/>
    </xf>
    <xf numFmtId="164" fontId="8" fillId="2" borderId="2" xfId="0" applyNumberFormat="1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center" wrapText="1"/>
    </xf>
    <xf numFmtId="166" fontId="3" fillId="0" borderId="2" xfId="6" applyNumberFormat="1" applyFont="1" applyFill="1" applyBorder="1" applyAlignment="1">
      <alignment horizontal="center" wrapText="1"/>
    </xf>
    <xf numFmtId="164" fontId="3" fillId="0" borderId="2" xfId="0" applyNumberFormat="1" applyFont="1" applyFill="1" applyBorder="1" applyAlignment="1">
      <alignment horizontal="center" wrapText="1"/>
    </xf>
    <xf numFmtId="0" fontId="12" fillId="0" borderId="2" xfId="0" applyFont="1" applyFill="1" applyBorder="1" applyAlignment="1">
      <alignment horizontal="left" wrapText="1"/>
    </xf>
    <xf numFmtId="166" fontId="3" fillId="0" borderId="2" xfId="6" applyNumberFormat="1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3" fontId="12" fillId="0" borderId="2" xfId="3" applyNumberFormat="1" applyFont="1" applyFill="1" applyBorder="1" applyAlignment="1">
      <alignment horizontal="left" wrapText="1"/>
    </xf>
    <xf numFmtId="3" fontId="12" fillId="0" borderId="2" xfId="3" applyNumberFormat="1" applyFont="1" applyFill="1" applyBorder="1" applyAlignment="1">
      <alignment horizontal="center" wrapText="1"/>
    </xf>
    <xf numFmtId="0" fontId="3" fillId="0" borderId="2" xfId="0" applyFont="1" applyFill="1" applyBorder="1" applyAlignment="1">
      <alignment wrapText="1"/>
    </xf>
    <xf numFmtId="0" fontId="3" fillId="0" borderId="2" xfId="0" applyFont="1" applyFill="1" applyBorder="1" applyAlignment="1">
      <alignment horizontal="left" wrapText="1" indent="1"/>
    </xf>
    <xf numFmtId="0" fontId="3" fillId="4" borderId="2" xfId="0" applyFont="1" applyFill="1" applyBorder="1" applyAlignment="1">
      <alignment horizontal="left" wrapText="1"/>
    </xf>
    <xf numFmtId="0" fontId="3" fillId="4" borderId="2" xfId="0" applyFont="1" applyFill="1" applyBorder="1" applyAlignment="1">
      <alignment horizontal="center" wrapText="1"/>
    </xf>
    <xf numFmtId="166" fontId="3" fillId="4" borderId="2" xfId="6" applyNumberFormat="1" applyFont="1" applyFill="1" applyBorder="1" applyAlignment="1">
      <alignment horizontal="center" wrapText="1"/>
    </xf>
    <xf numFmtId="164" fontId="3" fillId="4" borderId="2" xfId="0" applyNumberFormat="1" applyFont="1" applyFill="1" applyBorder="1" applyAlignment="1">
      <alignment horizontal="center" wrapText="1"/>
    </xf>
    <xf numFmtId="0" fontId="8" fillId="2" borderId="2" xfId="0" applyFont="1" applyFill="1" applyBorder="1" applyAlignment="1">
      <alignment wrapText="1"/>
    </xf>
    <xf numFmtId="166" fontId="31" fillId="0" borderId="2" xfId="6" applyNumberFormat="1" applyFont="1" applyFill="1" applyBorder="1" applyAlignment="1"/>
    <xf numFmtId="0" fontId="8" fillId="2" borderId="0" xfId="0" applyFont="1" applyFill="1" applyBorder="1" applyAlignment="1"/>
    <xf numFmtId="166" fontId="8" fillId="2" borderId="0" xfId="0" applyNumberFormat="1" applyFont="1" applyFill="1" applyBorder="1" applyAlignment="1"/>
    <xf numFmtId="166" fontId="8" fillId="3" borderId="2" xfId="6" applyNumberFormat="1" applyFont="1" applyFill="1" applyBorder="1" applyAlignment="1">
      <alignment wrapText="1"/>
    </xf>
    <xf numFmtId="0" fontId="4" fillId="5" borderId="0" xfId="0" applyFont="1" applyFill="1"/>
    <xf numFmtId="49" fontId="3" fillId="5" borderId="0" xfId="0" applyNumberFormat="1" applyFont="1" applyFill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3" fillId="5" borderId="0" xfId="0" applyFont="1" applyFill="1"/>
    <xf numFmtId="0" fontId="3" fillId="5" borderId="0" xfId="0" applyFont="1" applyFill="1" applyAlignment="1">
      <alignment horizontal="center"/>
    </xf>
    <xf numFmtId="0" fontId="33" fillId="5" borderId="0" xfId="0" applyFont="1" applyFill="1"/>
    <xf numFmtId="0" fontId="3" fillId="5" borderId="0" xfId="0" applyFont="1" applyFill="1" applyAlignment="1">
      <alignment horizontal="left"/>
    </xf>
    <xf numFmtId="49" fontId="3" fillId="5" borderId="0" xfId="0" applyNumberFormat="1" applyFont="1" applyFill="1" applyAlignment="1">
      <alignment horizontal="left" vertical="center"/>
    </xf>
    <xf numFmtId="0" fontId="19" fillId="5" borderId="7" xfId="0" applyFont="1" applyFill="1" applyBorder="1" applyAlignment="1"/>
    <xf numFmtId="49" fontId="19" fillId="5" borderId="7" xfId="0" applyNumberFormat="1" applyFont="1" applyFill="1" applyBorder="1" applyAlignment="1">
      <alignment vertical="center"/>
    </xf>
    <xf numFmtId="0" fontId="19" fillId="5" borderId="7" xfId="0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center"/>
    </xf>
    <xf numFmtId="0" fontId="19" fillId="5" borderId="7" xfId="0" applyFont="1" applyFill="1" applyBorder="1" applyAlignment="1">
      <alignment horizontal="left"/>
    </xf>
    <xf numFmtId="0" fontId="7" fillId="5" borderId="0" xfId="0" applyFont="1" applyFill="1" applyAlignment="1">
      <alignment horizontal="center"/>
    </xf>
    <xf numFmtId="0" fontId="19" fillId="5" borderId="0" xfId="0" applyFont="1" applyFill="1"/>
    <xf numFmtId="0" fontId="3" fillId="5" borderId="0" xfId="0" applyFont="1" applyFill="1" applyAlignment="1"/>
    <xf numFmtId="0" fontId="8" fillId="5" borderId="0" xfId="0" applyFont="1" applyFill="1" applyBorder="1" applyAlignment="1"/>
    <xf numFmtId="0" fontId="8" fillId="5" borderId="0" xfId="0" applyFont="1" applyFill="1" applyAlignment="1"/>
    <xf numFmtId="49" fontId="3" fillId="5" borderId="0" xfId="0" applyNumberFormat="1" applyFont="1" applyFill="1" applyAlignment="1">
      <alignment vertical="center"/>
    </xf>
    <xf numFmtId="0" fontId="4" fillId="5" borderId="0" xfId="0" applyFont="1" applyFill="1" applyAlignment="1">
      <alignment horizontal="center"/>
    </xf>
    <xf numFmtId="0" fontId="34" fillId="5" borderId="7" xfId="1" applyFont="1" applyFill="1" applyBorder="1" applyAlignment="1" applyProtection="1"/>
    <xf numFmtId="0" fontId="3" fillId="5" borderId="0" xfId="0" applyFont="1" applyFill="1" applyBorder="1" applyAlignment="1"/>
    <xf numFmtId="0" fontId="3" fillId="5" borderId="0" xfId="0" applyFont="1" applyFill="1" applyAlignment="1">
      <alignment horizontal="center" vertical="top"/>
    </xf>
    <xf numFmtId="0" fontId="3" fillId="5" borderId="23" xfId="0" applyFont="1" applyFill="1" applyBorder="1" applyAlignment="1"/>
    <xf numFmtId="49" fontId="3" fillId="5" borderId="0" xfId="0" applyNumberFormat="1" applyFont="1" applyFill="1" applyAlignment="1">
      <alignment horizontal="center"/>
    </xf>
    <xf numFmtId="49" fontId="19" fillId="5" borderId="7" xfId="0" applyNumberFormat="1" applyFont="1" applyFill="1" applyBorder="1" applyAlignment="1">
      <alignment horizontal="center"/>
    </xf>
    <xf numFmtId="49" fontId="3" fillId="5" borderId="0" xfId="0" applyNumberFormat="1" applyFont="1" applyFill="1" applyAlignment="1"/>
    <xf numFmtId="49" fontId="8" fillId="5" borderId="0" xfId="0" applyNumberFormat="1" applyFont="1" applyFill="1" applyBorder="1" applyAlignment="1"/>
    <xf numFmtId="49" fontId="3" fillId="5" borderId="0" xfId="0" applyNumberFormat="1" applyFont="1" applyFill="1"/>
    <xf numFmtId="0" fontId="19" fillId="5" borderId="7" xfId="0" quotePrefix="1" applyFont="1" applyFill="1" applyBorder="1" applyAlignment="1">
      <alignment horizontal="left"/>
    </xf>
    <xf numFmtId="0" fontId="3" fillId="5" borderId="0" xfId="0" applyFont="1" applyFill="1" applyAlignment="1">
      <alignment horizont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66" fontId="3" fillId="0" borderId="2" xfId="6" applyNumberFormat="1" applyFont="1" applyFill="1" applyBorder="1" applyAlignment="1">
      <alignment horizontal="center" vertical="center" wrapText="1"/>
    </xf>
    <xf numFmtId="1" fontId="3" fillId="0" borderId="2" xfId="6" applyNumberFormat="1" applyFont="1" applyFill="1" applyBorder="1" applyAlignment="1">
      <alignment horizontal="center" vertical="center" wrapText="1"/>
    </xf>
    <xf numFmtId="49" fontId="3" fillId="0" borderId="2" xfId="6" applyNumberFormat="1" applyFont="1" applyFill="1" applyBorder="1" applyAlignment="1">
      <alignment horizontal="center" vertical="center" wrapText="1"/>
    </xf>
    <xf numFmtId="1" fontId="3" fillId="0" borderId="2" xfId="6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3" fillId="5" borderId="2" xfId="0" applyFont="1" applyFill="1" applyBorder="1" applyAlignment="1">
      <alignment horizontal="center" vertical="center" wrapText="1"/>
    </xf>
    <xf numFmtId="49" fontId="3" fillId="5" borderId="2" xfId="0" applyNumberFormat="1" applyFont="1" applyFill="1" applyBorder="1" applyAlignment="1">
      <alignment horizontal="center" vertical="center" wrapText="1"/>
    </xf>
    <xf numFmtId="0" fontId="5" fillId="5" borderId="0" xfId="0" applyFont="1" applyFill="1" applyAlignment="1">
      <alignment horizontal="center"/>
    </xf>
    <xf numFmtId="0" fontId="5" fillId="5" borderId="0" xfId="0" applyFont="1" applyFill="1"/>
    <xf numFmtId="49" fontId="37" fillId="5" borderId="0" xfId="0" applyNumberFormat="1" applyFont="1" applyFill="1" applyAlignment="1">
      <alignment horizontal="center" vertical="center"/>
    </xf>
    <xf numFmtId="0" fontId="37" fillId="5" borderId="0" xfId="0" applyFont="1" applyFill="1" applyAlignment="1">
      <alignment horizontal="center" vertical="center"/>
    </xf>
    <xf numFmtId="0" fontId="37" fillId="5" borderId="0" xfId="0" applyFont="1" applyFill="1"/>
    <xf numFmtId="0" fontId="37" fillId="5" borderId="0" xfId="0" applyFont="1" applyFill="1" applyAlignment="1">
      <alignment horizontal="center"/>
    </xf>
    <xf numFmtId="0" fontId="3" fillId="5" borderId="2" xfId="0" applyFont="1" applyFill="1" applyBorder="1" applyAlignment="1"/>
    <xf numFmtId="14" fontId="3" fillId="5" borderId="0" xfId="0" applyNumberFormat="1" applyFont="1" applyFill="1" applyAlignment="1"/>
    <xf numFmtId="49" fontId="3" fillId="0" borderId="5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6" fillId="0" borderId="0" xfId="7" applyNumberFormat="1" applyFont="1" applyFill="1" applyBorder="1" applyAlignment="1">
      <alignment horizontal="center" vertical="center" wrapText="1"/>
    </xf>
    <xf numFmtId="14" fontId="3" fillId="5" borderId="0" xfId="0" applyNumberFormat="1" applyFont="1" applyFill="1" applyAlignment="1">
      <alignment horizontal="left"/>
    </xf>
    <xf numFmtId="49" fontId="3" fillId="5" borderId="2" xfId="0" applyNumberFormat="1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 wrapText="1"/>
    </xf>
    <xf numFmtId="0" fontId="7" fillId="5" borderId="0" xfId="0" applyFont="1" applyFill="1" applyAlignment="1">
      <alignment horizontal="right"/>
    </xf>
    <xf numFmtId="0" fontId="5" fillId="5" borderId="0" xfId="0" applyFont="1" applyFill="1" applyAlignment="1">
      <alignment horizontal="right"/>
    </xf>
    <xf numFmtId="0" fontId="18" fillId="5" borderId="0" xfId="0" applyFont="1" applyFill="1" applyAlignment="1">
      <alignment horizontal="center"/>
    </xf>
    <xf numFmtId="49" fontId="20" fillId="0" borderId="1" xfId="0" applyNumberFormat="1" applyFont="1" applyBorder="1" applyAlignment="1">
      <alignment horizontal="center" vertical="center" wrapText="1"/>
    </xf>
    <xf numFmtId="49" fontId="20" fillId="0" borderId="12" xfId="0" applyNumberFormat="1" applyFont="1" applyBorder="1" applyAlignment="1">
      <alignment horizontal="center" vertical="center" wrapText="1"/>
    </xf>
    <xf numFmtId="49" fontId="20" fillId="0" borderId="3" xfId="0" applyNumberFormat="1" applyFont="1" applyBorder="1" applyAlignment="1">
      <alignment horizontal="center" vertical="center" wrapText="1"/>
    </xf>
    <xf numFmtId="49" fontId="20" fillId="0" borderId="2" xfId="0" applyNumberFormat="1" applyFont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/>
    </xf>
    <xf numFmtId="0" fontId="20" fillId="0" borderId="2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0" fillId="0" borderId="2" xfId="0" applyBorder="1" applyAlignment="1"/>
    <xf numFmtId="0" fontId="7" fillId="0" borderId="0" xfId="0" applyFont="1" applyFill="1" applyAlignment="1">
      <alignment horizontal="center"/>
    </xf>
    <xf numFmtId="166" fontId="4" fillId="0" borderId="2" xfId="6" applyNumberFormat="1" applyFont="1" applyFill="1" applyBorder="1" applyAlignment="1">
      <alignment horizontal="center"/>
    </xf>
    <xf numFmtId="166" fontId="10" fillId="0" borderId="2" xfId="6" applyNumberFormat="1" applyFont="1" applyFill="1" applyBorder="1" applyAlignment="1">
      <alignment horizontal="center"/>
    </xf>
    <xf numFmtId="166" fontId="4" fillId="0" borderId="1" xfId="6" applyNumberFormat="1" applyFont="1" applyFill="1" applyBorder="1" applyAlignment="1">
      <alignment horizontal="center"/>
    </xf>
    <xf numFmtId="166" fontId="4" fillId="0" borderId="12" xfId="6" applyNumberFormat="1" applyFont="1" applyFill="1" applyBorder="1" applyAlignment="1">
      <alignment horizontal="center"/>
    </xf>
    <xf numFmtId="166" fontId="4" fillId="0" borderId="3" xfId="6" applyNumberFormat="1" applyFont="1" applyFill="1" applyBorder="1" applyAlignment="1">
      <alignment horizontal="center"/>
    </xf>
    <xf numFmtId="166" fontId="10" fillId="0" borderId="1" xfId="6" applyNumberFormat="1" applyFont="1" applyFill="1" applyBorder="1" applyAlignment="1">
      <alignment horizontal="center"/>
    </xf>
    <xf numFmtId="166" fontId="10" fillId="0" borderId="3" xfId="6" applyNumberFormat="1" applyFont="1" applyFill="1" applyBorder="1" applyAlignment="1">
      <alignment horizontal="center"/>
    </xf>
    <xf numFmtId="49" fontId="20" fillId="0" borderId="13" xfId="0" applyNumberFormat="1" applyFont="1" applyBorder="1" applyAlignment="1">
      <alignment horizontal="center" vertical="center" wrapText="1"/>
    </xf>
    <xf numFmtId="49" fontId="20" fillId="0" borderId="14" xfId="0" applyNumberFormat="1" applyFont="1" applyBorder="1" applyAlignment="1">
      <alignment horizontal="center" vertical="center" wrapText="1"/>
    </xf>
    <xf numFmtId="49" fontId="20" fillId="0" borderId="15" xfId="0" applyNumberFormat="1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64" fontId="4" fillId="0" borderId="18" xfId="0" applyNumberFormat="1" applyFont="1" applyFill="1" applyBorder="1" applyAlignment="1">
      <alignment horizontal="center" vertical="center" wrapText="1"/>
    </xf>
    <xf numFmtId="164" fontId="4" fillId="0" borderId="19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0" fillId="0" borderId="14" xfId="0" applyBorder="1" applyAlignment="1"/>
    <xf numFmtId="0" fontId="0" fillId="0" borderId="15" xfId="0" applyBorder="1" applyAlignment="1"/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" xfId="0" applyFont="1" applyFill="1" applyBorder="1"/>
    <xf numFmtId="166" fontId="4" fillId="0" borderId="1" xfId="6" applyNumberFormat="1" applyFont="1" applyFill="1" applyBorder="1" applyAlignment="1">
      <alignment horizontal="center" vertical="center"/>
    </xf>
    <xf numFmtId="166" fontId="4" fillId="0" borderId="12" xfId="6" applyNumberFormat="1" applyFont="1" applyFill="1" applyBorder="1" applyAlignment="1">
      <alignment horizontal="center" vertical="center"/>
    </xf>
    <xf numFmtId="166" fontId="4" fillId="0" borderId="3" xfId="6" applyNumberFormat="1" applyFont="1" applyFill="1" applyBorder="1" applyAlignment="1">
      <alignment horizontal="center" vertical="center"/>
    </xf>
    <xf numFmtId="166" fontId="10" fillId="0" borderId="1" xfId="6" applyNumberFormat="1" applyFont="1" applyFill="1" applyBorder="1" applyAlignment="1">
      <alignment horizontal="center" vertical="center"/>
    </xf>
    <xf numFmtId="166" fontId="10" fillId="0" borderId="3" xfId="6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</cellXfs>
  <cellStyles count="8">
    <cellStyle name="Гиперссылка" xfId="1" builtinId="8"/>
    <cellStyle name="Обычный" xfId="0" builtinId="0"/>
    <cellStyle name="Обычный 2" xfId="2"/>
    <cellStyle name="Обычный 3" xfId="7"/>
    <cellStyle name="Обычный_Лист1" xfId="3"/>
    <cellStyle name="Процентный 2" xfId="4"/>
    <cellStyle name="Стиль 1" xfId="5"/>
    <cellStyle name="Финансовый" xfId="6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POSTORM\forall\DOCUME~1\USER--~1\LOCALS~1\Temp\plan-grafik_zakupok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erman/Desktop/&#1055;&#1083;&#1072;&#1085;%20&#1079;&#1072;&#1082;&#1091;&#1087;&#1086;&#1082;%20&#1089;%20&#1087;&#1088;&#1080;&#1082;&#1072;&#1079;&#1072;&#1084;&#1080;/&#1055;&#1083;&#1072;&#1085;%20&#1079;&#1072;&#1082;&#1091;&#1087;&#1086;&#1082;%20&#1085;&#1072;%202016%20&#1075;&#1086;&#1076;/&#1055;&#1083;&#1072;&#1085;%20&#1088;&#1077;&#1076;.&#8470;19/&#1055;&#1083;&#1072;&#1085;%20&#1079;&#1072;&#1082;&#1091;&#1087;&#1086;&#1082;%20&#1088;&#1077;&#1076;.&#8470;%2019%20%20&#1086;&#1090;%2029.11.2016&#1075;.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emesh/&#1052;&#1086;&#1080;%20&#1076;&#1086;&#1082;&#1091;&#1084;&#1077;&#1085;&#1090;&#1099;/Downloads/&#1055;&#1088;&#1086;&#1075;&#1085;&#1086;&#1079;%20&#1085;&#1072;%202012%20&#1075;&#1086;&#107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POSTORM\forall\_ExchangeFolder_\&#1060;&#1069;&#1054;\&#1055;&#1069;&#1043;\&#1087;&#1083;&#1072;&#1085;%20&#1085;&#1072;%202012%20&#1075;&#1086;&#1076;\&#1050;&#1086;&#1087;&#1080;&#1103;%20&#1056;&#1072;&#1089;&#1095;&#1077;&#1090;%20&#1089;&#1090;&#1072;&#1074;&#1082;&#1080;%20&#1090;&#1072;&#1088;&#1080;&#1092;&#1072;%20&#1085;&#1072;%202012%20&#1075;&#1086;&#1076;%20&#1076;&#1083;&#1103;%20&#1056;&#1069;&#105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-график"/>
      <sheetName val="Словари"/>
      <sheetName val="Единицы измерения"/>
      <sheetName val="Структурированная нуменклатура"/>
      <sheetName val="Размещение заказа"/>
    </sheetNames>
    <sheetDataSet>
      <sheetData sheetId="0" refreshError="1"/>
      <sheetData sheetId="1">
        <row r="2">
          <cell r="A2" t="str">
            <v>П</v>
          </cell>
        </row>
        <row r="3">
          <cell r="A3" t="str">
            <v>О</v>
          </cell>
        </row>
        <row r="4">
          <cell r="A4" t="str">
            <v>И</v>
          </cell>
        </row>
        <row r="5">
          <cell r="A5" t="str">
            <v>З</v>
          </cell>
        </row>
        <row r="6">
          <cell r="A6" t="str">
            <v>ОТМ</v>
          </cell>
        </row>
      </sheetData>
      <sheetData sheetId="2">
        <row r="2">
          <cell r="A2" t="str">
            <v>100 ЛИСТ</v>
          </cell>
        </row>
        <row r="3">
          <cell r="A3" t="str">
            <v>100 УПАК</v>
          </cell>
        </row>
        <row r="4">
          <cell r="A4" t="str">
            <v>100 ШТ</v>
          </cell>
        </row>
        <row r="5">
          <cell r="A5" t="str">
            <v>100 ЯЩ</v>
          </cell>
        </row>
        <row r="6">
          <cell r="A6" t="str">
            <v>2 ДЕС</v>
          </cell>
        </row>
        <row r="7">
          <cell r="A7" t="str">
            <v>А</v>
          </cell>
        </row>
        <row r="8">
          <cell r="A8" t="str">
            <v>А. Ч</v>
          </cell>
        </row>
        <row r="9">
          <cell r="A9" t="str">
            <v>АМПУЛ</v>
          </cell>
        </row>
        <row r="10">
          <cell r="A10" t="str">
            <v>АР</v>
          </cell>
        </row>
        <row r="11">
          <cell r="A11" t="str">
            <v>АТМ</v>
          </cell>
        </row>
        <row r="12">
          <cell r="A12" t="str">
            <v>АТТ</v>
          </cell>
        </row>
        <row r="13">
          <cell r="A13" t="str">
            <v>БАР</v>
          </cell>
        </row>
        <row r="14">
          <cell r="A14" t="str">
            <v>БК</v>
          </cell>
        </row>
        <row r="15">
          <cell r="A15" t="str">
            <v>БЛН ШТ</v>
          </cell>
        </row>
        <row r="16">
          <cell r="A16" t="str">
            <v>БОБ</v>
          </cell>
        </row>
        <row r="17">
          <cell r="A17" t="str">
            <v>БУТ</v>
          </cell>
        </row>
        <row r="18">
          <cell r="A18" t="str">
            <v>В</v>
          </cell>
        </row>
        <row r="19">
          <cell r="A19" t="str">
            <v>В. А</v>
          </cell>
        </row>
        <row r="20">
          <cell r="A20" t="str">
            <v>ВБ</v>
          </cell>
        </row>
        <row r="21">
          <cell r="A21" t="str">
            <v>ВТ</v>
          </cell>
        </row>
        <row r="22">
          <cell r="A22" t="str">
            <v>ВТ. Ч</v>
          </cell>
        </row>
        <row r="23">
          <cell r="A23" t="str">
            <v>Г</v>
          </cell>
        </row>
        <row r="24">
          <cell r="A24" t="str">
            <v>Г ДЕЛЯЩ</v>
          </cell>
        </row>
        <row r="25">
          <cell r="A25" t="str">
            <v>Г/КВТ. Ч</v>
          </cell>
        </row>
        <row r="26">
          <cell r="A26" t="str">
            <v>ГА</v>
          </cell>
        </row>
        <row r="27">
          <cell r="A27" t="str">
            <v>ГБ</v>
          </cell>
        </row>
        <row r="28">
          <cell r="A28" t="str">
            <v>ГБк</v>
          </cell>
        </row>
        <row r="29">
          <cell r="A29" t="str">
            <v>ГГ</v>
          </cell>
        </row>
        <row r="30">
          <cell r="A30" t="str">
            <v>ГИГАКАЛ</v>
          </cell>
        </row>
        <row r="31">
          <cell r="A31" t="str">
            <v>ГИГАКАЛ/Ч</v>
          </cell>
        </row>
        <row r="32">
          <cell r="A32" t="str">
            <v>ГЛ</v>
          </cell>
        </row>
        <row r="33">
          <cell r="A33" t="str">
            <v>Гн</v>
          </cell>
        </row>
        <row r="34">
          <cell r="A34" t="str">
            <v>ГОД</v>
          </cell>
        </row>
        <row r="35">
          <cell r="A35" t="str">
            <v>ГОЛ</v>
          </cell>
        </row>
        <row r="36">
          <cell r="A36" t="str">
            <v>ГРАД ФАРЕН</v>
          </cell>
        </row>
        <row r="37">
          <cell r="A37" t="str">
            <v>ГРАД ЦЕЛЬС</v>
          </cell>
        </row>
        <row r="38">
          <cell r="A38" t="str">
            <v>ГЦ</v>
          </cell>
        </row>
        <row r="39">
          <cell r="A39" t="str">
            <v>ДЕК</v>
          </cell>
        </row>
        <row r="40">
          <cell r="A40" t="str">
            <v>ДЕС ПАР</v>
          </cell>
        </row>
        <row r="41">
          <cell r="A41" t="str">
            <v>ДЕСЛЕТ</v>
          </cell>
        </row>
        <row r="42">
          <cell r="A42" t="str">
            <v>ДЖ</v>
          </cell>
        </row>
        <row r="43">
          <cell r="A43" t="str">
            <v>ДКЛ</v>
          </cell>
        </row>
        <row r="44">
          <cell r="A44" t="str">
            <v>ДЛ</v>
          </cell>
        </row>
        <row r="45">
          <cell r="A45" t="str">
            <v>ДМ</v>
          </cell>
        </row>
        <row r="46">
          <cell r="A46" t="str">
            <v>ДМ2</v>
          </cell>
        </row>
        <row r="47">
          <cell r="A47" t="str">
            <v>ДН</v>
          </cell>
        </row>
        <row r="48">
          <cell r="A48" t="str">
            <v>ДОЗ</v>
          </cell>
        </row>
        <row r="49">
          <cell r="A49" t="str">
            <v>ДОМХОЗ</v>
          </cell>
        </row>
        <row r="50">
          <cell r="A50" t="str">
            <v>ДЮЖИНА</v>
          </cell>
        </row>
        <row r="51">
          <cell r="A51" t="str">
            <v>ДЮЖИНА ПАР</v>
          </cell>
        </row>
        <row r="52">
          <cell r="A52" t="str">
            <v>ДЮЖИНА РУЛ</v>
          </cell>
        </row>
        <row r="53">
          <cell r="A53" t="str">
            <v>ДЮЖИНА ШТ</v>
          </cell>
        </row>
        <row r="54">
          <cell r="A54" t="str">
            <v>ДЮЙМ</v>
          </cell>
        </row>
        <row r="55">
          <cell r="A55" t="str">
            <v>ДЮЙМ2</v>
          </cell>
        </row>
        <row r="56">
          <cell r="A56" t="str">
            <v>ДЮЙМ3</v>
          </cell>
        </row>
        <row r="57">
          <cell r="A57" t="str">
            <v>ЕД</v>
          </cell>
        </row>
        <row r="58">
          <cell r="A58" t="str">
            <v>ЗНАК</v>
          </cell>
        </row>
        <row r="59">
          <cell r="A59" t="str">
            <v>ИЗД</v>
          </cell>
        </row>
        <row r="60">
          <cell r="A60" t="str">
            <v>К</v>
          </cell>
        </row>
        <row r="61">
          <cell r="A61" t="str">
            <v>КАР</v>
          </cell>
        </row>
        <row r="62">
          <cell r="A62" t="str">
            <v>КБ</v>
          </cell>
        </row>
        <row r="63">
          <cell r="A63" t="str">
            <v>КВ</v>
          </cell>
        </row>
        <row r="64">
          <cell r="A64" t="str">
            <v>КВ. А</v>
          </cell>
        </row>
        <row r="65">
          <cell r="A65" t="str">
            <v>КВАДР РУБ</v>
          </cell>
        </row>
        <row r="66">
          <cell r="A66" t="str">
            <v>КВАР</v>
          </cell>
        </row>
        <row r="67">
          <cell r="A67" t="str">
            <v>КВАРТ</v>
          </cell>
        </row>
        <row r="68">
          <cell r="A68" t="str">
            <v>КВАРТИРА</v>
          </cell>
        </row>
        <row r="69">
          <cell r="A69" t="str">
            <v>КВТ</v>
          </cell>
        </row>
        <row r="70">
          <cell r="A70" t="str">
            <v>КВТ. Ч</v>
          </cell>
        </row>
        <row r="71">
          <cell r="A71" t="str">
            <v>КГ</v>
          </cell>
        </row>
        <row r="72">
          <cell r="A72" t="str">
            <v>КГ/М3</v>
          </cell>
        </row>
        <row r="73">
          <cell r="A73" t="str">
            <v>КГ/С</v>
          </cell>
        </row>
        <row r="74">
          <cell r="A74" t="str">
            <v>КГц</v>
          </cell>
        </row>
        <row r="75">
          <cell r="A75" t="str">
            <v>КД</v>
          </cell>
        </row>
        <row r="76">
          <cell r="A76" t="str">
            <v>КДЖ</v>
          </cell>
        </row>
        <row r="77">
          <cell r="A77" t="str">
            <v>КИ</v>
          </cell>
        </row>
        <row r="78">
          <cell r="A78" t="str">
            <v>ККАЛ</v>
          </cell>
        </row>
        <row r="79">
          <cell r="A79" t="str">
            <v>ККАЛ/Ч</v>
          </cell>
        </row>
        <row r="80">
          <cell r="A80" t="str">
            <v>КЛ</v>
          </cell>
        </row>
        <row r="81">
          <cell r="A81" t="str">
            <v>КЛ/КГ</v>
          </cell>
        </row>
        <row r="82">
          <cell r="A82" t="str">
            <v>КМ</v>
          </cell>
        </row>
        <row r="83">
          <cell r="A83" t="str">
            <v>КМ/Ч</v>
          </cell>
        </row>
        <row r="84">
          <cell r="A84" t="str">
            <v>КМ2</v>
          </cell>
        </row>
        <row r="85">
          <cell r="A85" t="str">
            <v>КОЕК</v>
          </cell>
        </row>
        <row r="86">
          <cell r="A86" t="str">
            <v>КОМПЛ</v>
          </cell>
        </row>
        <row r="87">
          <cell r="A87" t="str">
            <v>кПа</v>
          </cell>
        </row>
        <row r="88">
          <cell r="A88" t="str">
            <v>КТ</v>
          </cell>
        </row>
        <row r="89">
          <cell r="A89" t="str">
            <v>Л</v>
          </cell>
        </row>
        <row r="90">
          <cell r="A90" t="str">
            <v>ЛИСТ</v>
          </cell>
        </row>
        <row r="91">
          <cell r="A91" t="str">
            <v>ЛИСТ АВТ</v>
          </cell>
        </row>
        <row r="92">
          <cell r="A92" t="str">
            <v>ЛИСТ ПЕЧ</v>
          </cell>
        </row>
        <row r="93">
          <cell r="A93" t="str">
            <v>ЛИСТ УЧ. И</v>
          </cell>
        </row>
        <row r="94">
          <cell r="A94" t="str">
            <v>ЛК</v>
          </cell>
        </row>
        <row r="95">
          <cell r="A95" t="str">
            <v>ЛМ</v>
          </cell>
        </row>
        <row r="96">
          <cell r="A96" t="str">
            <v>ЛС</v>
          </cell>
        </row>
        <row r="97">
          <cell r="A97" t="str">
            <v>М</v>
          </cell>
        </row>
        <row r="98">
          <cell r="A98" t="str">
            <v>М/С</v>
          </cell>
        </row>
        <row r="99">
          <cell r="A99" t="str">
            <v>М/С2</v>
          </cell>
        </row>
        <row r="100">
          <cell r="A100" t="str">
            <v>М/Ч</v>
          </cell>
        </row>
        <row r="101">
          <cell r="A101" t="str">
            <v>М2</v>
          </cell>
        </row>
        <row r="102">
          <cell r="A102" t="str">
            <v>М2 ЖИЛ ПЛ</v>
          </cell>
        </row>
        <row r="103">
          <cell r="A103" t="str">
            <v>М2 ОБЩ ПЛ</v>
          </cell>
        </row>
        <row r="104">
          <cell r="A104" t="str">
            <v>М3</v>
          </cell>
        </row>
        <row r="105">
          <cell r="A105" t="str">
            <v>М3/С</v>
          </cell>
        </row>
        <row r="106">
          <cell r="A106" t="str">
            <v>М3/Ч</v>
          </cell>
        </row>
        <row r="107">
          <cell r="A107" t="str">
            <v>МАГАВ. А</v>
          </cell>
        </row>
        <row r="108">
          <cell r="A108" t="str">
            <v>МБАР</v>
          </cell>
        </row>
        <row r="109">
          <cell r="A109" t="str">
            <v>МГ</v>
          </cell>
        </row>
        <row r="110">
          <cell r="A110" t="str">
            <v>МГц</v>
          </cell>
        </row>
        <row r="111">
          <cell r="A111" t="str">
            <v>МЕГАВТ</v>
          </cell>
        </row>
        <row r="112">
          <cell r="A112" t="str">
            <v>МЕГАВТ. Ч</v>
          </cell>
        </row>
        <row r="113">
          <cell r="A113" t="str">
            <v>МЕГАЛ</v>
          </cell>
        </row>
        <row r="114">
          <cell r="A114" t="str">
            <v>МЕГАМ</v>
          </cell>
        </row>
        <row r="115">
          <cell r="A115" t="str">
            <v>МЕС</v>
          </cell>
        </row>
        <row r="116">
          <cell r="A116" t="str">
            <v>МЕСТ</v>
          </cell>
        </row>
        <row r="117">
          <cell r="A117" t="str">
            <v>МИЛЬ</v>
          </cell>
        </row>
        <row r="118">
          <cell r="A118" t="str">
            <v>МИН</v>
          </cell>
        </row>
        <row r="119">
          <cell r="A119" t="str">
            <v>МИН З/П</v>
          </cell>
        </row>
        <row r="120">
          <cell r="A120" t="str">
            <v>МКИ</v>
          </cell>
        </row>
        <row r="121">
          <cell r="A121" t="str">
            <v>МКС</v>
          </cell>
        </row>
        <row r="122">
          <cell r="A122" t="str">
            <v>МЛН ГОЛ/Г</v>
          </cell>
        </row>
        <row r="123">
          <cell r="A123" t="str">
            <v>МЛН ДКЛ</v>
          </cell>
        </row>
        <row r="124">
          <cell r="A124" t="str">
            <v>МЛН ДОМХОЗ</v>
          </cell>
        </row>
        <row r="125">
          <cell r="A125" t="str">
            <v>МЛН ЕД</v>
          </cell>
        </row>
        <row r="126">
          <cell r="A126" t="str">
            <v>МЛН КАР</v>
          </cell>
        </row>
        <row r="127">
          <cell r="A127" t="str">
            <v>МЛН ЛС</v>
          </cell>
        </row>
        <row r="128">
          <cell r="A128" t="str">
            <v>МЛН М3</v>
          </cell>
        </row>
        <row r="129">
          <cell r="A129" t="str">
            <v>МЛН ПАР</v>
          </cell>
        </row>
        <row r="130">
          <cell r="A130" t="str">
            <v xml:space="preserve">МЛН ПАСС. </v>
          </cell>
        </row>
        <row r="131">
          <cell r="A131" t="str">
            <v>МЛН ПОЛ Л</v>
          </cell>
        </row>
        <row r="132">
          <cell r="A132" t="str">
            <v>МЛН РУБ</v>
          </cell>
        </row>
        <row r="133">
          <cell r="A133" t="str">
            <v>МЛН СЕМЕЙ</v>
          </cell>
        </row>
        <row r="134">
          <cell r="A134" t="str">
            <v>МЛН Т. КМ</v>
          </cell>
        </row>
        <row r="135">
          <cell r="A135" t="str">
            <v>МЛН Т/Г</v>
          </cell>
        </row>
        <row r="136">
          <cell r="A136" t="str">
            <v>МЛН УПАК</v>
          </cell>
        </row>
        <row r="137">
          <cell r="A137" t="str">
            <v>МЛН УСЛ ЕД</v>
          </cell>
        </row>
        <row r="138">
          <cell r="A138" t="str">
            <v>МЛН УСЛ КИ</v>
          </cell>
        </row>
        <row r="139">
          <cell r="A139" t="str">
            <v>МЛН УСЛ КУ</v>
          </cell>
        </row>
        <row r="140">
          <cell r="A140" t="str">
            <v>МЛН ЧЕЛ</v>
          </cell>
        </row>
        <row r="141">
          <cell r="A141" t="str">
            <v>МЛН ШТ</v>
          </cell>
        </row>
        <row r="142">
          <cell r="A142" t="str">
            <v>МЛН/ЕД Г</v>
          </cell>
        </row>
        <row r="143">
          <cell r="A143" t="str">
            <v>МЛРД М3</v>
          </cell>
        </row>
        <row r="144">
          <cell r="A144" t="str">
            <v>МЛРД РУБ</v>
          </cell>
        </row>
        <row r="145">
          <cell r="A145" t="str">
            <v>МЛРД ШТ</v>
          </cell>
        </row>
        <row r="146">
          <cell r="A146" t="str">
            <v>ММ</v>
          </cell>
        </row>
        <row r="147">
          <cell r="A147" t="str">
            <v>ММ2</v>
          </cell>
        </row>
        <row r="148">
          <cell r="A148" t="str">
            <v>ММ3</v>
          </cell>
        </row>
        <row r="149">
          <cell r="A149" t="str">
            <v>МПа</v>
          </cell>
        </row>
        <row r="150">
          <cell r="A150" t="str">
            <v>Н</v>
          </cell>
        </row>
        <row r="151">
          <cell r="A151" t="str">
            <v>НАБОР</v>
          </cell>
        </row>
        <row r="152">
          <cell r="A152" t="str">
            <v>НЕД</v>
          </cell>
        </row>
        <row r="153">
          <cell r="A153" t="str">
            <v>НОМ</v>
          </cell>
        </row>
        <row r="154">
          <cell r="A154" t="str">
            <v>ОБ/МИН</v>
          </cell>
        </row>
        <row r="155">
          <cell r="A155" t="str">
            <v>ОБ/С</v>
          </cell>
        </row>
        <row r="156">
          <cell r="A156" t="str">
            <v>ОМ</v>
          </cell>
        </row>
        <row r="157">
          <cell r="A157" t="str">
            <v>ПА</v>
          </cell>
        </row>
        <row r="158">
          <cell r="A158" t="str">
            <v>ПАР</v>
          </cell>
        </row>
        <row r="159">
          <cell r="A159" t="str">
            <v>ПАР/СМЕН</v>
          </cell>
        </row>
        <row r="160">
          <cell r="A160" t="str">
            <v>ПАСС МЕСТ</v>
          </cell>
        </row>
        <row r="161">
          <cell r="A161" t="str">
            <v>ПАСС. КМ</v>
          </cell>
        </row>
        <row r="162">
          <cell r="A162" t="str">
            <v>Пасс. ПОТО</v>
          </cell>
        </row>
        <row r="163">
          <cell r="A163" t="str">
            <v>ПЛОТН М3</v>
          </cell>
        </row>
        <row r="164">
          <cell r="A164" t="str">
            <v>ПОГ М</v>
          </cell>
        </row>
        <row r="165">
          <cell r="A165" t="str">
            <v>ПОЛГОД</v>
          </cell>
        </row>
        <row r="166">
          <cell r="A166" t="str">
            <v>ПОСАД МЕСТ</v>
          </cell>
        </row>
        <row r="167">
          <cell r="A167" t="str">
            <v>ПОСЕЩ/СМЕН</v>
          </cell>
        </row>
        <row r="168">
          <cell r="A168" t="str">
            <v>ПОСЫЛ</v>
          </cell>
        </row>
        <row r="169">
          <cell r="A169" t="str">
            <v>ПРОМИЛЛЕ</v>
          </cell>
        </row>
        <row r="170">
          <cell r="A170" t="str">
            <v>ПРОЦ</v>
          </cell>
        </row>
        <row r="171">
          <cell r="A171" t="str">
            <v>РАБ МЕСТ</v>
          </cell>
        </row>
        <row r="172">
          <cell r="A172" t="str">
            <v>РУЛ</v>
          </cell>
        </row>
        <row r="173">
          <cell r="A173" t="str">
            <v>С</v>
          </cell>
        </row>
        <row r="174">
          <cell r="A174" t="str">
            <v>СГ</v>
          </cell>
        </row>
        <row r="175">
          <cell r="A175" t="str">
            <v>СЕКЦ</v>
          </cell>
        </row>
        <row r="176">
          <cell r="A176" t="str">
            <v>СЕМЕЙ</v>
          </cell>
        </row>
        <row r="177">
          <cell r="A177" t="str">
            <v>СИ</v>
          </cell>
        </row>
        <row r="178">
          <cell r="A178" t="str">
            <v>СИМВОЛ</v>
          </cell>
        </row>
        <row r="179">
          <cell r="A179" t="str">
            <v>СЛОВО</v>
          </cell>
        </row>
        <row r="180">
          <cell r="A180" t="str">
            <v>СМ</v>
          </cell>
        </row>
        <row r="181">
          <cell r="A181" t="str">
            <v>СМ2</v>
          </cell>
        </row>
        <row r="182">
          <cell r="A182" t="str">
            <v>СМ3</v>
          </cell>
        </row>
        <row r="183">
          <cell r="A183" t="str">
            <v>СМЕН</v>
          </cell>
        </row>
        <row r="184">
          <cell r="A184" t="str">
            <v>Т</v>
          </cell>
        </row>
        <row r="185">
          <cell r="A185" t="str">
            <v>Т ПАР/Ч</v>
          </cell>
        </row>
        <row r="186">
          <cell r="A186" t="str">
            <v>Т ПЕРЕР/С</v>
          </cell>
        </row>
        <row r="187">
          <cell r="A187" t="str">
            <v>Т. КМ</v>
          </cell>
        </row>
        <row r="188">
          <cell r="A188" t="str">
            <v>Т. НОМ</v>
          </cell>
        </row>
        <row r="189">
          <cell r="A189" t="str">
            <v>Т/СМЕН</v>
          </cell>
        </row>
        <row r="190">
          <cell r="A190" t="str">
            <v>Т/СУТ</v>
          </cell>
        </row>
        <row r="191">
          <cell r="A191" t="str">
            <v>Т/Ч</v>
          </cell>
        </row>
        <row r="192">
          <cell r="A192" t="str">
            <v>ТОМ КНИЖ Ф</v>
          </cell>
        </row>
        <row r="193">
          <cell r="A193" t="str">
            <v>ТРИЛЛ РУБ</v>
          </cell>
        </row>
        <row r="194">
          <cell r="A194" t="str">
            <v>ТЫС  А. Ч</v>
          </cell>
        </row>
        <row r="195">
          <cell r="A195" t="str">
            <v>ТЫС  ДОЗ</v>
          </cell>
        </row>
        <row r="196">
          <cell r="A196" t="str">
            <v>ТЫС  ПАР/Ч</v>
          </cell>
        </row>
        <row r="197">
          <cell r="A197" t="str">
            <v>ТЫС АМПУЛ</v>
          </cell>
        </row>
        <row r="198">
          <cell r="A198" t="str">
            <v>ТЫС БУТ</v>
          </cell>
        </row>
        <row r="199">
          <cell r="A199" t="str">
            <v>ТЫС ГОЛ/ГО</v>
          </cell>
        </row>
        <row r="200">
          <cell r="A200" t="str">
            <v>ТЫС ДКЛ</v>
          </cell>
        </row>
        <row r="201">
          <cell r="A201" t="str">
            <v>ТЫС ДОМХОЗ</v>
          </cell>
        </row>
        <row r="202">
          <cell r="A202" t="str">
            <v>ТЫС ЕД</v>
          </cell>
        </row>
        <row r="203">
          <cell r="A203" t="str">
            <v>ТЫС КАР</v>
          </cell>
        </row>
        <row r="204">
          <cell r="A204" t="str">
            <v>ТЫС КВАРТ</v>
          </cell>
        </row>
        <row r="205">
          <cell r="A205" t="str">
            <v>ТЫС КОЕК</v>
          </cell>
        </row>
        <row r="206">
          <cell r="A206" t="str">
            <v>ТЫС КОР</v>
          </cell>
        </row>
        <row r="207">
          <cell r="A207" t="str">
            <v>ТЫС Л</v>
          </cell>
        </row>
        <row r="208">
          <cell r="A208" t="str">
            <v>ТЫС ЛС</v>
          </cell>
        </row>
        <row r="209">
          <cell r="A209" t="str">
            <v>ТЫС М2</v>
          </cell>
        </row>
        <row r="210">
          <cell r="A210" t="str">
            <v>ТЫС М3</v>
          </cell>
        </row>
        <row r="211">
          <cell r="A211" t="str">
            <v>ТЫС М3/СУТ</v>
          </cell>
        </row>
        <row r="212">
          <cell r="A212" t="str">
            <v>ТЫС МЕСТ</v>
          </cell>
        </row>
        <row r="213">
          <cell r="A213" t="str">
            <v>ТЫС ПАР</v>
          </cell>
        </row>
        <row r="214">
          <cell r="A214" t="str">
            <v>ТЫС ПАР/СМ</v>
          </cell>
        </row>
        <row r="215">
          <cell r="A215" t="str">
            <v xml:space="preserve">ТЫС ПАСС. </v>
          </cell>
        </row>
        <row r="216">
          <cell r="A216" t="str">
            <v>ТЫС ПОЛ Л</v>
          </cell>
        </row>
        <row r="217">
          <cell r="A217" t="str">
            <v xml:space="preserve">ТЫС ПОСАД </v>
          </cell>
        </row>
        <row r="218">
          <cell r="A218" t="str">
            <v>тыс посещ/</v>
          </cell>
        </row>
        <row r="219">
          <cell r="A219" t="str">
            <v>ТЫС РАБ МЕ</v>
          </cell>
        </row>
        <row r="220">
          <cell r="A220" t="str">
            <v>ТЫС РУБ</v>
          </cell>
        </row>
        <row r="221">
          <cell r="A221" t="str">
            <v>ТЫС РУЛ</v>
          </cell>
        </row>
        <row r="222">
          <cell r="A222" t="str">
            <v>ТЫС СЕМЕЙ</v>
          </cell>
        </row>
        <row r="223">
          <cell r="A223" t="str">
            <v>ТЫС Т</v>
          </cell>
        </row>
        <row r="224">
          <cell r="A224" t="str">
            <v>ТЫС Т ПЕР/</v>
          </cell>
        </row>
        <row r="225">
          <cell r="A225" t="str">
            <v>ТЫС Т. КМ</v>
          </cell>
        </row>
        <row r="226">
          <cell r="A226" t="str">
            <v>ТЫС Т/ГОД</v>
          </cell>
        </row>
        <row r="227">
          <cell r="A227" t="str">
            <v>ТЫС Т/СЕЗ</v>
          </cell>
        </row>
        <row r="228">
          <cell r="A228" t="str">
            <v>ТЫС ТОМ КН</v>
          </cell>
        </row>
        <row r="229">
          <cell r="A229" t="str">
            <v>ТЫС УСЛ ЕД</v>
          </cell>
        </row>
        <row r="230">
          <cell r="A230" t="str">
            <v>ТЫС УСЛ КА</v>
          </cell>
        </row>
        <row r="231">
          <cell r="A231" t="str">
            <v>ТЫС УСЛ КИ</v>
          </cell>
        </row>
        <row r="232">
          <cell r="A232" t="str">
            <v>ТЫС УСЛ КУ</v>
          </cell>
        </row>
        <row r="233">
          <cell r="A233" t="str">
            <v>ТЫС УСЛ М3</v>
          </cell>
        </row>
        <row r="234">
          <cell r="A234" t="str">
            <v>ТЫС УСЛ ПЛ</v>
          </cell>
        </row>
        <row r="235">
          <cell r="A235" t="str">
            <v>ТЫС УСЛ ШТ</v>
          </cell>
        </row>
        <row r="236">
          <cell r="A236" t="str">
            <v>ТЫС УСЛ ЯЩ</v>
          </cell>
        </row>
        <row r="237">
          <cell r="A237" t="str">
            <v>ТЫС УЧЕН М</v>
          </cell>
        </row>
        <row r="238">
          <cell r="A238" t="str">
            <v>ТЫС ФЛАК</v>
          </cell>
        </row>
        <row r="239">
          <cell r="A239" t="str">
            <v>ТЫС Ц ПЕРЕ</v>
          </cell>
        </row>
        <row r="240">
          <cell r="A240" t="str">
            <v>ТЫС ЧЕЛ</v>
          </cell>
        </row>
        <row r="241">
          <cell r="A241" t="str">
            <v>ТЫС ЧЕЛ. Д</v>
          </cell>
        </row>
        <row r="242">
          <cell r="A242" t="str">
            <v>ТЫС ЧЕЛ. Ч</v>
          </cell>
        </row>
        <row r="243">
          <cell r="A243" t="str">
            <v>ТЫС ШТ</v>
          </cell>
        </row>
        <row r="244">
          <cell r="A244" t="str">
            <v>УЗ</v>
          </cell>
        </row>
        <row r="245">
          <cell r="A245" t="str">
            <v>УПАК</v>
          </cell>
        </row>
        <row r="246">
          <cell r="A246" t="str">
            <v>УСЛ БАНК</v>
          </cell>
        </row>
        <row r="247">
          <cell r="A247" t="str">
            <v>УСЛ ЕД</v>
          </cell>
        </row>
        <row r="248">
          <cell r="A248" t="str">
            <v>УСЛ КАТ</v>
          </cell>
        </row>
        <row r="249">
          <cell r="A249" t="str">
            <v>УСЛ КИРП</v>
          </cell>
        </row>
        <row r="250">
          <cell r="A250" t="str">
            <v>УСЛ КУС</v>
          </cell>
        </row>
        <row r="251">
          <cell r="A251" t="str">
            <v>УСЛ М</v>
          </cell>
        </row>
        <row r="252">
          <cell r="A252" t="str">
            <v>УСЛ М2</v>
          </cell>
        </row>
        <row r="253">
          <cell r="A253" t="str">
            <v>УСЛ М3</v>
          </cell>
        </row>
        <row r="254">
          <cell r="A254" t="str">
            <v>УСЛ ПЛИТ</v>
          </cell>
        </row>
        <row r="255">
          <cell r="A255" t="str">
            <v>УСЛ РЕМ</v>
          </cell>
        </row>
        <row r="256">
          <cell r="A256" t="str">
            <v>УСЛ Т</v>
          </cell>
        </row>
        <row r="257">
          <cell r="A257" t="str">
            <v>УСЛ ТРУБ</v>
          </cell>
        </row>
        <row r="258">
          <cell r="A258" t="str">
            <v>УСЛ ШТ</v>
          </cell>
        </row>
        <row r="259">
          <cell r="A259" t="str">
            <v>УСЛ ЯЩ</v>
          </cell>
        </row>
        <row r="260">
          <cell r="A260" t="str">
            <v>УЧЕН МЕСТ</v>
          </cell>
        </row>
        <row r="261">
          <cell r="A261" t="str">
            <v>Ф</v>
          </cell>
        </row>
        <row r="262">
          <cell r="A262" t="str">
            <v>ФЛАК</v>
          </cell>
        </row>
        <row r="263">
          <cell r="A263" t="str">
            <v>ФУТ</v>
          </cell>
        </row>
        <row r="264">
          <cell r="A264" t="str">
            <v>ФУТ2</v>
          </cell>
        </row>
        <row r="265">
          <cell r="A265" t="str">
            <v>ФУТ3</v>
          </cell>
        </row>
        <row r="266">
          <cell r="A266" t="str">
            <v>Ц</v>
          </cell>
        </row>
        <row r="267">
          <cell r="A267" t="str">
            <v>Ц ПЕРЕР/С</v>
          </cell>
        </row>
        <row r="268">
          <cell r="A268" t="str">
            <v>Ч</v>
          </cell>
        </row>
        <row r="269">
          <cell r="A269" t="str">
            <v>ЧАСТЬ</v>
          </cell>
        </row>
        <row r="270">
          <cell r="A270" t="str">
            <v>ЧЕЛ</v>
          </cell>
        </row>
        <row r="271">
          <cell r="A271" t="str">
            <v>ЧЕЛ. ДН</v>
          </cell>
        </row>
        <row r="272">
          <cell r="A272" t="str">
            <v>ЧЕЛ. Ч</v>
          </cell>
        </row>
        <row r="273">
          <cell r="A273" t="str">
            <v>ЧЕЛ/КМ2</v>
          </cell>
        </row>
        <row r="274">
          <cell r="A274" t="str">
            <v>ЧЕЛ/М2</v>
          </cell>
        </row>
        <row r="275">
          <cell r="A275" t="str">
            <v>ШТ</v>
          </cell>
        </row>
        <row r="276">
          <cell r="A276" t="str">
            <v>ЭЛЕМ</v>
          </cell>
        </row>
        <row r="277">
          <cell r="A277" t="str">
            <v>ЯРД</v>
          </cell>
        </row>
        <row r="278">
          <cell r="A278" t="str">
            <v>ЯРД2</v>
          </cell>
        </row>
        <row r="279">
          <cell r="A279" t="str">
            <v>ЯРД3</v>
          </cell>
        </row>
        <row r="280">
          <cell r="A280" t="str">
            <v>ЯЩ</v>
          </cell>
        </row>
      </sheetData>
      <sheetData sheetId="3" refreshError="1"/>
      <sheetData sheetId="4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на 2012 изм (3)"/>
      <sheetName val="План на 2012 изм (2)"/>
      <sheetName val="План на 2012 изм"/>
      <sheetName val="План (2)"/>
      <sheetName val="План"/>
      <sheetName val="План (3)"/>
    </sheetNames>
    <sheetDataSet>
      <sheetData sheetId="0" refreshError="1">
        <row r="20">
          <cell r="I20" t="str">
            <v>01401364000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траты 2010  ГУП "/>
      <sheetName val="1 квартал 2011"/>
      <sheetName val="Алданский"/>
      <sheetName val="динамика с оленьком"/>
      <sheetName val="затраты 2010"/>
      <sheetName val="затраты 2011"/>
      <sheetName val="затраты 2010 свод "/>
      <sheetName val="анализ доходов и расходов 1 (2)"/>
      <sheetName val="налог на имущество с архивом"/>
      <sheetName val="свод с управлением (2)"/>
      <sheetName val="ШР 2012 с 01.06.12"/>
      <sheetName val="надбавки за секретность"/>
      <sheetName val="свод для приказа"/>
      <sheetName val="свод "/>
      <sheetName val="форма 2"/>
      <sheetName val="свод с управлением"/>
      <sheetName val="выручка"/>
      <sheetName val="Лист1"/>
      <sheetName val="арктика"/>
      <sheetName val="вил"/>
      <sheetName val="центральная зона "/>
      <sheetName val="города"/>
      <sheetName val="ЦА"/>
      <sheetName val="затраты окончат"/>
      <sheetName val="ШР 2012"/>
      <sheetName val="проезды 2012"/>
      <sheetName val="расчет затрат Кирова"/>
      <sheetName val="налог на имущество"/>
      <sheetName val="выручка 2011 год"/>
      <sheetName val="Экспликация Кирова"/>
      <sheetName val="лимит итернет 2012 Кирова 28"/>
      <sheetName val="расчет нормы выработки 2012"/>
      <sheetName val="ПО 2012"/>
      <sheetName val="план закупок 2012"/>
      <sheetName val="Оборудование"/>
      <sheetName val="ремонт ОС 2012"/>
      <sheetName val="нормы выработки 2009"/>
      <sheetName val="расчет выработки на 2012 год"/>
      <sheetName val="расчет выработки"/>
      <sheetName val="расчет стоимости нормочаса ТИ "/>
      <sheetName val="расходы на рекламу"/>
      <sheetName val="Команд"/>
      <sheetName val="интернет"/>
      <sheetName val="услуги связи 2011"/>
      <sheetName val="ЦЕНТР"/>
      <sheetName val="МЕСТН"/>
      <sheetName val="ИПЦ"/>
      <sheetName val="январь-сентябрь 2011 все"/>
      <sheetName val="тарифы"/>
      <sheetName val="Амортизация НМА"/>
      <sheetName val="произ календарь"/>
      <sheetName val="9 мес 2011"/>
      <sheetName val="выручка январь сент"/>
      <sheetName val="тр налог"/>
      <sheetName val="расчет затрат Кирова c архивом"/>
      <sheetName val="Экспликация с архивом"/>
      <sheetName val="услуги связи разбивка по месяц"/>
      <sheetName val="услуги связи"/>
      <sheetName val="расходные"/>
      <sheetName val="Техн без филиалы"/>
      <sheetName val="мебель"/>
      <sheetName val="Свод по оборудов"/>
      <sheetName val="ОРК"/>
      <sheetName val="ГПД"/>
      <sheetName val="услуги связи и интернет 2010"/>
      <sheetName val="динамика затрат"/>
      <sheetName val="затраты 2010 свод по видам (2)"/>
      <sheetName val="свод"/>
      <sheetName val="прогноз выручки на 2011 год ст"/>
      <sheetName val="прогноз выручки на 2011 год "/>
      <sheetName val="выручка январь июль"/>
      <sheetName val="анализ доходов и расходов 1 пол"/>
      <sheetName val="общехоз затраты"/>
      <sheetName val="динамика"/>
      <sheetName val="верхневил"/>
      <sheetName val="вилюйский"/>
      <sheetName val="горный"/>
      <sheetName val="жатайский"/>
      <sheetName val="ленский"/>
      <sheetName val="мегино-Кан"/>
      <sheetName val="намский"/>
      <sheetName val="нерюнгри"/>
      <sheetName val="нюрбинский"/>
      <sheetName val="олекмин"/>
      <sheetName val="сунтарский"/>
      <sheetName val="татт"/>
      <sheetName val="томпо"/>
      <sheetName val="1 квартал 2010"/>
      <sheetName val="1 квартал 2011 (2)"/>
      <sheetName val="усть-алд"/>
      <sheetName val="усть-ма"/>
      <sheetName val="ханг"/>
      <sheetName val="чурапч"/>
      <sheetName val="якут"/>
      <sheetName val="мирнинский"/>
      <sheetName val="земельный отдел"/>
      <sheetName val="затраты 2010 свод по видам  (2)"/>
      <sheetName val="1 квартал 2011 (3)"/>
      <sheetName val="отдел оценки"/>
      <sheetName val="Абыйский"/>
      <sheetName val="Аллаиховский"/>
      <sheetName val="Анабарский"/>
      <sheetName val="булунский"/>
      <sheetName val="верхнекол"/>
      <sheetName val="верхоян"/>
      <sheetName val="жиганский"/>
      <sheetName val="кобяйский"/>
      <sheetName val="момский"/>
      <sheetName val="нижнекол"/>
      <sheetName val="оймякон"/>
      <sheetName val="среднекол"/>
      <sheetName val="усть-ян"/>
      <sheetName val="Амгинский"/>
      <sheetName val="затраты 2010  для печати (27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>
        <row r="18">
          <cell r="K18">
            <v>1381404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траты 2010  ГУП "/>
      <sheetName val="1 квартал 2011"/>
      <sheetName val="Алданский"/>
      <sheetName val="динамика с оленьком"/>
      <sheetName val="затраты 2010"/>
      <sheetName val="затраты 2011"/>
      <sheetName val="затраты 2010 свод "/>
      <sheetName val="анализ доходов и расходов 1 (2)"/>
      <sheetName val="налог на имущество с архивом"/>
      <sheetName val="Лист1"/>
      <sheetName val="расчет нормы выработки 2012"/>
      <sheetName val="ШР 2012"/>
      <sheetName val="расчет выработки на 2012 год"/>
      <sheetName val="расчет выработки"/>
      <sheetName val="расчет стоимости нормочаса ТИ "/>
      <sheetName val="свод "/>
      <sheetName val="свод с управлением"/>
      <sheetName val="ЦА"/>
      <sheetName val="вил"/>
      <sheetName val="расчет затрат Кирова"/>
      <sheetName val="Команд"/>
      <sheetName val="интернет"/>
      <sheetName val="услуги связи 2011"/>
      <sheetName val="арктика"/>
      <sheetName val="города"/>
      <sheetName val="центральная зона"/>
      <sheetName val="ЦЕНТР"/>
      <sheetName val="МЕСТН"/>
      <sheetName val="мебель"/>
      <sheetName val="Оборудование"/>
      <sheetName val="Свод по оборудов"/>
      <sheetName val="налог на имущество"/>
      <sheetName val="ИПЦ"/>
      <sheetName val="январь-сентябрь 2011 все"/>
      <sheetName val="тарифы"/>
      <sheetName val="ГПД"/>
      <sheetName val="ОРК"/>
      <sheetName val="ремонт ОС 2012"/>
      <sheetName val="Амортизация НМА"/>
      <sheetName val="произ календарь"/>
      <sheetName val="9 мес 2011"/>
      <sheetName val="выручка январь сент"/>
      <sheetName val="тр налог"/>
      <sheetName val="расчет затрат Кирова c архивом"/>
      <sheetName val="Экспликация с архивом"/>
      <sheetName val="Экспликация Кирова"/>
      <sheetName val="услуги связи разбивка по месяц"/>
      <sheetName val="услуги связи"/>
      <sheetName val="расходы на рекламу"/>
      <sheetName val="Техн без филиалы"/>
      <sheetName val="расходные"/>
      <sheetName val="проезды 2012"/>
      <sheetName val="лимит итернет 2012 Кирова 28"/>
      <sheetName val="услуги связи и интернет 2010"/>
      <sheetName val="динамика затрат"/>
      <sheetName val="затраты 2010 свод по видам (2)"/>
      <sheetName val="свод"/>
      <sheetName val="прогноз выручки на 2011 год ст"/>
      <sheetName val="прогноз выручки на 2011 год "/>
      <sheetName val="выручка январь июль"/>
      <sheetName val="анализ доходов и расходов 1 пол"/>
      <sheetName val="общехоз затраты"/>
      <sheetName val="динамика"/>
      <sheetName val="верхневил"/>
      <sheetName val="вилюйский"/>
      <sheetName val="горный"/>
      <sheetName val="жатайский"/>
      <sheetName val="ленский"/>
      <sheetName val="мегино-Кан"/>
      <sheetName val="намский"/>
      <sheetName val="нерюнгри"/>
      <sheetName val="нюрбинский"/>
      <sheetName val="олекмин"/>
      <sheetName val="сунтарский"/>
      <sheetName val="татт"/>
      <sheetName val="томпо"/>
      <sheetName val="1 квартал 2010"/>
      <sheetName val="1 квартал 2011 (2)"/>
      <sheetName val="усть-алд"/>
      <sheetName val="усть-ма"/>
      <sheetName val="ханг"/>
      <sheetName val="чурапч"/>
      <sheetName val="якут"/>
      <sheetName val="мирнинский"/>
      <sheetName val="земельный отдел"/>
      <sheetName val="затраты 2010 свод по видам  (2)"/>
      <sheetName val="1 квартал 2011 (3)"/>
      <sheetName val="отдел оценки"/>
      <sheetName val="Абыйский"/>
      <sheetName val="Аллаиховский"/>
      <sheetName val="Анабарский"/>
      <sheetName val="булунский"/>
      <sheetName val="верхнекол"/>
      <sheetName val="верхоян"/>
      <sheetName val="жиганский"/>
      <sheetName val="кобяйский"/>
      <sheetName val="момский"/>
      <sheetName val="нижнекол"/>
      <sheetName val="оймякон"/>
      <sheetName val="среднекол"/>
      <sheetName val="усть-ян"/>
      <sheetName val="Амгинский"/>
      <sheetName val="затраты 2010  для печати (27)"/>
      <sheetName val="выручка"/>
      <sheetName val="выручка 2011 год"/>
      <sheetName val="ПО 2012"/>
      <sheetName val="план закупок 2012"/>
      <sheetName val="нормы выработки 200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56">
          <cell r="I56">
            <v>1756580.82706</v>
          </cell>
        </row>
      </sheetData>
      <sheetData sheetId="17">
        <row r="46">
          <cell r="DH46">
            <v>60810.943333643605</v>
          </cell>
          <cell r="DY46">
            <v>33736.96067829433</v>
          </cell>
        </row>
        <row r="47">
          <cell r="DH47">
            <v>246507.55796804806</v>
          </cell>
          <cell r="DY47">
            <v>136758.53940370213</v>
          </cell>
        </row>
        <row r="49">
          <cell r="DH49">
            <v>515683.87373239215</v>
          </cell>
          <cell r="DY49">
            <v>286093.35124250571</v>
          </cell>
        </row>
      </sheetData>
      <sheetData sheetId="18">
        <row r="47">
          <cell r="AB47">
            <v>93748.99</v>
          </cell>
          <cell r="BH47">
            <v>266475.21000000002</v>
          </cell>
        </row>
        <row r="48">
          <cell r="AB48">
            <v>36643.199999999997</v>
          </cell>
        </row>
        <row r="49">
          <cell r="AB49">
            <v>8302.7032553046629</v>
          </cell>
          <cell r="BH49">
            <v>25094.556258896388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>
        <row r="46">
          <cell r="L46">
            <v>1703.2104017125625</v>
          </cell>
          <cell r="DD46">
            <v>376.29999999999995</v>
          </cell>
          <cell r="DT46">
            <v>3183.08</v>
          </cell>
          <cell r="EZ46">
            <v>691.05084745762724</v>
          </cell>
        </row>
        <row r="47">
          <cell r="L47">
            <v>64723.259520000007</v>
          </cell>
          <cell r="DE47">
            <v>51963.434999999998</v>
          </cell>
          <cell r="DT47">
            <v>45184.78</v>
          </cell>
          <cell r="EZ47">
            <v>40065.305084745763</v>
          </cell>
          <cell r="GF47">
            <v>41323.210999999996</v>
          </cell>
        </row>
        <row r="48">
          <cell r="EZ48">
            <v>42.511099999999999</v>
          </cell>
        </row>
        <row r="49">
          <cell r="L49">
            <v>25250.832768</v>
          </cell>
          <cell r="DT49">
            <v>7995.8532000000005</v>
          </cell>
          <cell r="EZ49">
            <v>22384</v>
          </cell>
          <cell r="GF49">
            <v>6487.1237000000001</v>
          </cell>
        </row>
      </sheetData>
      <sheetData sheetId="24">
        <row r="46">
          <cell r="AB46">
            <v>17622.243388000003</v>
          </cell>
          <cell r="AR46">
            <v>1137.8898305084747</v>
          </cell>
          <cell r="BH46">
            <v>3446</v>
          </cell>
          <cell r="BX46">
            <v>1622.41</v>
          </cell>
          <cell r="CN46">
            <v>7205.0895</v>
          </cell>
          <cell r="DF46">
            <v>40592.534006945665</v>
          </cell>
        </row>
        <row r="47">
          <cell r="AB47">
            <v>690838.29220000003</v>
          </cell>
          <cell r="AR47">
            <v>22121.522400000002</v>
          </cell>
          <cell r="BH47">
            <v>100227.1</v>
          </cell>
          <cell r="BX47">
            <v>89362.02</v>
          </cell>
          <cell r="CN47">
            <v>53237.49760000001</v>
          </cell>
          <cell r="DF47">
            <v>164548.77825010003</v>
          </cell>
        </row>
        <row r="48">
          <cell r="AR48">
            <v>14913.15</v>
          </cell>
          <cell r="BH48">
            <v>164738.08319999999</v>
          </cell>
          <cell r="BX48">
            <v>27688.188000000002</v>
          </cell>
          <cell r="CN48">
            <v>59619.01</v>
          </cell>
        </row>
        <row r="49">
          <cell r="AB49">
            <v>87251.662700000001</v>
          </cell>
          <cell r="AR49">
            <v>17006.515800000001</v>
          </cell>
          <cell r="BH49">
            <v>50592.173999999999</v>
          </cell>
          <cell r="BX49">
            <v>12269.264999999999</v>
          </cell>
          <cell r="CN49">
            <v>64484.866100000007</v>
          </cell>
          <cell r="DF49">
            <v>344229.4105925255</v>
          </cell>
        </row>
      </sheetData>
      <sheetData sheetId="25">
        <row r="46">
          <cell r="AR46">
            <v>650.2270992382546</v>
          </cell>
          <cell r="BH46">
            <v>2178.1776</v>
          </cell>
          <cell r="EZ46">
            <v>886.07270999999992</v>
          </cell>
        </row>
        <row r="47">
          <cell r="AR47">
            <v>13302.971880000003</v>
          </cell>
          <cell r="BH47">
            <v>18720.078000000001</v>
          </cell>
          <cell r="CN47">
            <v>93501.52</v>
          </cell>
          <cell r="DD47">
            <v>192933.54</v>
          </cell>
          <cell r="EZ47">
            <v>221945.46839999998</v>
          </cell>
          <cell r="GF47">
            <v>345675.21</v>
          </cell>
        </row>
        <row r="48">
          <cell r="BH48">
            <v>5094.6720000000005</v>
          </cell>
        </row>
        <row r="49">
          <cell r="BH49">
            <v>58822.682900000007</v>
          </cell>
          <cell r="CN49">
            <v>9414.9</v>
          </cell>
          <cell r="DD49">
            <v>11450.4766</v>
          </cell>
          <cell r="EZ49">
            <v>20099.027999999998</v>
          </cell>
          <cell r="GF49">
            <v>14605.609400000001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/>
      <sheetData sheetId="104"/>
      <sheetData sheetId="105"/>
      <sheetData sheetId="106"/>
      <sheetData sheetId="10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zimina@e-tranzit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92"/>
  <sheetViews>
    <sheetView tabSelected="1" zoomScale="66" zoomScaleNormal="66" zoomScaleSheetLayoutView="70" zoomScalePageLayoutView="85" workbookViewId="0">
      <selection activeCell="A2" sqref="A2:O63"/>
    </sheetView>
  </sheetViews>
  <sheetFormatPr defaultRowHeight="15" x14ac:dyDescent="0.25"/>
  <cols>
    <col min="1" max="1" width="10.42578125" style="306" customWidth="1"/>
    <col min="2" max="2" width="13" style="307" customWidth="1"/>
    <col min="3" max="3" width="15.140625" style="308" customWidth="1"/>
    <col min="4" max="4" width="36.140625" style="309" customWidth="1"/>
    <col min="5" max="5" width="21.140625" style="310" customWidth="1"/>
    <col min="6" max="6" width="8.5703125" style="310" customWidth="1"/>
    <col min="7" max="7" width="7.5703125" style="309" customWidth="1"/>
    <col min="8" max="8" width="24.28515625" style="310" customWidth="1"/>
    <col min="9" max="9" width="17.5703125" style="330" customWidth="1"/>
    <col min="10" max="10" width="12.85546875" style="309" customWidth="1"/>
    <col min="11" max="11" width="15.7109375" style="309" customWidth="1"/>
    <col min="12" max="12" width="13" style="309" customWidth="1"/>
    <col min="13" max="13" width="16.28515625" style="309" customWidth="1"/>
    <col min="14" max="14" width="16" style="309" customWidth="1"/>
    <col min="15" max="15" width="11.7109375" style="309" customWidth="1"/>
    <col min="16" max="16" width="10.28515625" style="309" hidden="1" customWidth="1"/>
    <col min="17" max="17" width="13.85546875" style="309" hidden="1" customWidth="1"/>
    <col min="18" max="18" width="10.28515625" style="309" hidden="1" customWidth="1"/>
    <col min="19" max="19" width="11.5703125" style="309" hidden="1" customWidth="1"/>
    <col min="20" max="20" width="10.28515625" style="309" hidden="1" customWidth="1"/>
    <col min="21" max="21" width="11.7109375" style="309" hidden="1" customWidth="1"/>
    <col min="22" max="22" width="10.28515625" style="309" hidden="1" customWidth="1"/>
    <col min="23" max="23" width="13" style="309" hidden="1" customWidth="1"/>
    <col min="24" max="24" width="43.5703125" style="309" hidden="1" customWidth="1"/>
    <col min="25" max="25" width="13.42578125" style="309" hidden="1" customWidth="1"/>
    <col min="26" max="26" width="14.7109375" style="309" hidden="1" customWidth="1"/>
    <col min="27" max="16384" width="9.140625" style="309"/>
  </cols>
  <sheetData>
    <row r="1" spans="1:28" ht="13.5" customHeight="1" x14ac:dyDescent="0.25">
      <c r="B1" s="306" t="e">
        <f>B1:O41Способ закупки</f>
        <v>#NAME?</v>
      </c>
      <c r="M1" s="363"/>
      <c r="N1" s="363"/>
      <c r="O1" s="363"/>
    </row>
    <row r="2" spans="1:28" s="351" customFormat="1" ht="41.25" customHeight="1" x14ac:dyDescent="0.3">
      <c r="A2" s="348">
        <v>3</v>
      </c>
      <c r="B2" s="349"/>
      <c r="C2" s="350"/>
      <c r="E2" s="352"/>
      <c r="F2" s="352"/>
      <c r="H2" s="347"/>
      <c r="I2" s="347"/>
      <c r="M2" s="364"/>
      <c r="N2" s="364"/>
      <c r="O2" s="364"/>
    </row>
    <row r="3" spans="1:28" ht="13.5" customHeight="1" x14ac:dyDescent="0.25">
      <c r="M3" s="363"/>
      <c r="N3" s="363"/>
      <c r="O3" s="363"/>
    </row>
    <row r="4" spans="1:28" ht="15.75" customHeight="1" x14ac:dyDescent="0.25">
      <c r="M4" s="363"/>
      <c r="N4" s="363"/>
      <c r="O4" s="363"/>
      <c r="AB4" s="311"/>
    </row>
    <row r="5" spans="1:28" ht="16.5" hidden="1" x14ac:dyDescent="0.25">
      <c r="A5" s="365" t="s">
        <v>649</v>
      </c>
      <c r="B5" s="365"/>
      <c r="C5" s="365"/>
      <c r="D5" s="365"/>
      <c r="E5" s="365"/>
      <c r="F5" s="365"/>
      <c r="G5" s="365"/>
      <c r="H5" s="365"/>
      <c r="I5" s="365"/>
      <c r="J5" s="365"/>
      <c r="K5" s="365"/>
      <c r="L5" s="365"/>
      <c r="M5" s="365"/>
      <c r="N5" s="365"/>
      <c r="O5" s="365"/>
    </row>
    <row r="6" spans="1:28" ht="12.75" hidden="1" x14ac:dyDescent="0.2">
      <c r="A6" s="312"/>
      <c r="B6" s="313"/>
      <c r="D6" s="312"/>
      <c r="G6" s="312"/>
      <c r="J6" s="312"/>
      <c r="K6" s="312"/>
      <c r="L6" s="312"/>
      <c r="M6" s="312"/>
      <c r="N6" s="312"/>
      <c r="O6" s="312"/>
      <c r="P6" s="312"/>
      <c r="Q6" s="312"/>
      <c r="R6" s="312"/>
      <c r="S6" s="312"/>
      <c r="T6" s="312"/>
      <c r="U6" s="312"/>
      <c r="V6" s="312"/>
      <c r="W6" s="312"/>
      <c r="X6" s="312"/>
    </row>
    <row r="7" spans="1:28" ht="24.75" customHeight="1" x14ac:dyDescent="0.25">
      <c r="A7" s="314" t="s">
        <v>373</v>
      </c>
      <c r="B7" s="315"/>
      <c r="C7" s="316"/>
      <c r="D7" s="316"/>
      <c r="E7" s="314" t="s">
        <v>590</v>
      </c>
      <c r="F7" s="317"/>
      <c r="G7" s="314"/>
      <c r="H7" s="317"/>
      <c r="I7" s="331"/>
      <c r="J7" s="314"/>
      <c r="K7" s="314"/>
      <c r="L7" s="314"/>
      <c r="M7" s="314"/>
      <c r="N7" s="314"/>
      <c r="O7" s="314"/>
      <c r="P7" s="314"/>
      <c r="Q7" s="314"/>
      <c r="R7" s="314"/>
      <c r="S7" s="314"/>
      <c r="T7" s="314"/>
      <c r="U7" s="314"/>
      <c r="V7" s="314"/>
      <c r="W7" s="314"/>
      <c r="X7" s="314"/>
    </row>
    <row r="8" spans="1:28" ht="15.75" x14ac:dyDescent="0.25">
      <c r="A8" s="314" t="s">
        <v>374</v>
      </c>
      <c r="B8" s="315"/>
      <c r="C8" s="316"/>
      <c r="D8" s="316"/>
      <c r="E8" s="314" t="s">
        <v>591</v>
      </c>
      <c r="F8" s="317"/>
      <c r="G8" s="314"/>
      <c r="H8" s="317"/>
      <c r="I8" s="331"/>
      <c r="J8" s="314"/>
      <c r="K8" s="314"/>
      <c r="L8" s="314"/>
      <c r="M8" s="314"/>
      <c r="N8" s="314"/>
      <c r="O8" s="314"/>
      <c r="P8" s="314"/>
      <c r="Q8" s="314"/>
      <c r="R8" s="314"/>
      <c r="S8" s="314"/>
      <c r="T8" s="314"/>
      <c r="U8" s="314"/>
      <c r="V8" s="314"/>
      <c r="W8" s="314"/>
      <c r="X8" s="314"/>
    </row>
    <row r="9" spans="1:28" ht="15.75" x14ac:dyDescent="0.25">
      <c r="A9" s="314" t="s">
        <v>375</v>
      </c>
      <c r="B9" s="315"/>
      <c r="C9" s="316"/>
      <c r="D9" s="316"/>
      <c r="E9" s="314" t="s">
        <v>592</v>
      </c>
      <c r="F9" s="317"/>
      <c r="G9" s="314"/>
      <c r="H9" s="317"/>
      <c r="I9" s="331"/>
      <c r="J9" s="314"/>
      <c r="K9" s="314"/>
      <c r="L9" s="314"/>
      <c r="M9" s="314"/>
      <c r="N9" s="314"/>
      <c r="O9" s="314"/>
      <c r="P9" s="314"/>
      <c r="Q9" s="314"/>
      <c r="R9" s="314"/>
      <c r="S9" s="314"/>
      <c r="T9" s="314"/>
      <c r="U9" s="314"/>
      <c r="V9" s="314"/>
      <c r="W9" s="314"/>
      <c r="X9" s="314"/>
    </row>
    <row r="10" spans="1:28" ht="15.75" x14ac:dyDescent="0.25">
      <c r="A10" s="314" t="s">
        <v>376</v>
      </c>
      <c r="B10" s="315"/>
      <c r="C10" s="316"/>
      <c r="D10" s="316"/>
      <c r="E10" s="326" t="s">
        <v>602</v>
      </c>
      <c r="F10" s="317"/>
      <c r="G10" s="314"/>
      <c r="H10" s="317"/>
      <c r="I10" s="331"/>
      <c r="J10" s="314"/>
      <c r="K10" s="314"/>
      <c r="L10" s="314"/>
      <c r="M10" s="314"/>
      <c r="N10" s="314"/>
      <c r="O10" s="314"/>
      <c r="P10" s="314"/>
      <c r="Q10" s="314"/>
      <c r="R10" s="314"/>
      <c r="S10" s="314"/>
      <c r="T10" s="314"/>
      <c r="U10" s="314"/>
      <c r="V10" s="314"/>
      <c r="W10" s="314"/>
      <c r="X10" s="314"/>
    </row>
    <row r="11" spans="1:28" ht="15.75" x14ac:dyDescent="0.25">
      <c r="A11" s="314" t="s">
        <v>377</v>
      </c>
      <c r="B11" s="315"/>
      <c r="C11" s="316"/>
      <c r="D11" s="316"/>
      <c r="E11" s="318">
        <v>2222050969</v>
      </c>
      <c r="F11" s="317"/>
      <c r="G11" s="314"/>
      <c r="H11" s="317"/>
      <c r="I11" s="331"/>
      <c r="J11" s="314"/>
      <c r="K11" s="314"/>
      <c r="L11" s="314"/>
      <c r="M11" s="314"/>
      <c r="N11" s="314"/>
      <c r="O11" s="314"/>
      <c r="P11" s="314"/>
      <c r="Q11" s="314"/>
      <c r="R11" s="314"/>
      <c r="S11" s="314"/>
      <c r="T11" s="314"/>
      <c r="U11" s="314"/>
      <c r="V11" s="314"/>
      <c r="W11" s="314"/>
      <c r="X11" s="314"/>
    </row>
    <row r="12" spans="1:28" ht="15.75" x14ac:dyDescent="0.25">
      <c r="A12" s="314" t="s">
        <v>378</v>
      </c>
      <c r="B12" s="315"/>
      <c r="C12" s="316"/>
      <c r="D12" s="316"/>
      <c r="E12" s="318">
        <v>222201001</v>
      </c>
      <c r="F12" s="317"/>
      <c r="G12" s="314"/>
      <c r="H12" s="317"/>
      <c r="I12" s="331"/>
      <c r="J12" s="314"/>
      <c r="K12" s="314"/>
      <c r="L12" s="314"/>
      <c r="M12" s="314"/>
      <c r="N12" s="314"/>
      <c r="O12" s="314"/>
      <c r="P12" s="314"/>
      <c r="Q12" s="314"/>
      <c r="R12" s="314"/>
      <c r="S12" s="314"/>
      <c r="T12" s="314"/>
      <c r="U12" s="314"/>
      <c r="V12" s="314"/>
      <c r="W12" s="314"/>
      <c r="X12" s="314"/>
    </row>
    <row r="13" spans="1:28" ht="15.75" x14ac:dyDescent="0.25">
      <c r="A13" s="314" t="s">
        <v>379</v>
      </c>
      <c r="B13" s="315"/>
      <c r="C13" s="316"/>
      <c r="D13" s="316"/>
      <c r="E13" s="335" t="s">
        <v>601</v>
      </c>
      <c r="F13" s="317"/>
      <c r="G13" s="314"/>
      <c r="H13" s="317"/>
      <c r="I13" s="331"/>
      <c r="J13" s="314"/>
      <c r="K13" s="314"/>
      <c r="L13" s="314"/>
      <c r="M13" s="314"/>
      <c r="N13" s="314"/>
      <c r="O13" s="314"/>
      <c r="P13" s="314"/>
      <c r="Q13" s="314"/>
      <c r="R13" s="314"/>
      <c r="S13" s="314"/>
      <c r="T13" s="314"/>
      <c r="U13" s="314"/>
      <c r="V13" s="314"/>
      <c r="W13" s="314"/>
      <c r="X13" s="314"/>
    </row>
    <row r="14" spans="1:28" ht="15.75" x14ac:dyDescent="0.25">
      <c r="D14" s="320"/>
      <c r="E14" s="336"/>
      <c r="F14" s="336"/>
      <c r="G14" s="306"/>
      <c r="H14" s="336"/>
      <c r="J14" s="319"/>
      <c r="K14" s="319"/>
      <c r="L14" s="319"/>
    </row>
    <row r="15" spans="1:28" ht="0.75" customHeight="1" x14ac:dyDescent="0.2">
      <c r="A15" s="360" t="s">
        <v>380</v>
      </c>
      <c r="B15" s="360" t="s">
        <v>596</v>
      </c>
      <c r="C15" s="360" t="s">
        <v>597</v>
      </c>
      <c r="D15" s="362" t="s">
        <v>383</v>
      </c>
      <c r="E15" s="362"/>
      <c r="F15" s="362"/>
      <c r="G15" s="362"/>
      <c r="H15" s="362"/>
      <c r="I15" s="362"/>
      <c r="J15" s="362"/>
      <c r="K15" s="362"/>
      <c r="L15" s="362"/>
      <c r="M15" s="362"/>
      <c r="N15" s="362" t="s">
        <v>384</v>
      </c>
      <c r="O15" s="362" t="s">
        <v>385</v>
      </c>
    </row>
    <row r="16" spans="1:28" s="321" customFormat="1" ht="36" customHeight="1" x14ac:dyDescent="0.2">
      <c r="A16" s="361"/>
      <c r="B16" s="360"/>
      <c r="C16" s="360"/>
      <c r="D16" s="362" t="s">
        <v>386</v>
      </c>
      <c r="E16" s="362" t="s">
        <v>387</v>
      </c>
      <c r="F16" s="362" t="s">
        <v>12</v>
      </c>
      <c r="G16" s="362"/>
      <c r="H16" s="362" t="s">
        <v>388</v>
      </c>
      <c r="I16" s="362" t="s">
        <v>389</v>
      </c>
      <c r="J16" s="362"/>
      <c r="K16" s="362" t="s">
        <v>495</v>
      </c>
      <c r="L16" s="362" t="s">
        <v>391</v>
      </c>
      <c r="M16" s="362"/>
      <c r="N16" s="362"/>
      <c r="O16" s="362"/>
    </row>
    <row r="17" spans="1:15" s="321" customFormat="1" ht="99.75" customHeight="1" x14ac:dyDescent="0.2">
      <c r="A17" s="361"/>
      <c r="B17" s="360"/>
      <c r="C17" s="360"/>
      <c r="D17" s="362"/>
      <c r="E17" s="362"/>
      <c r="F17" s="345" t="s">
        <v>392</v>
      </c>
      <c r="G17" s="345" t="s">
        <v>393</v>
      </c>
      <c r="H17" s="362"/>
      <c r="I17" s="346" t="s">
        <v>394</v>
      </c>
      <c r="J17" s="345" t="s">
        <v>393</v>
      </c>
      <c r="K17" s="362"/>
      <c r="L17" s="345" t="s">
        <v>395</v>
      </c>
      <c r="M17" s="345" t="s">
        <v>396</v>
      </c>
      <c r="N17" s="362"/>
      <c r="O17" s="345" t="s">
        <v>397</v>
      </c>
    </row>
    <row r="18" spans="1:15" s="327" customFormat="1" ht="289.5" customHeight="1" x14ac:dyDescent="0.2">
      <c r="A18" s="337" t="s">
        <v>398</v>
      </c>
      <c r="B18" s="337" t="s">
        <v>606</v>
      </c>
      <c r="C18" s="338" t="s">
        <v>611</v>
      </c>
      <c r="D18" s="339" t="s">
        <v>652</v>
      </c>
      <c r="E18" s="339" t="str">
        <f>$E$30</f>
        <v>В соответствии с требованиями действующего законодательства РФ и условиям договора</v>
      </c>
      <c r="F18" s="338" t="s">
        <v>618</v>
      </c>
      <c r="G18" s="340" t="s">
        <v>661</v>
      </c>
      <c r="H18" s="341" t="s">
        <v>663</v>
      </c>
      <c r="I18" s="342">
        <v>1413000000</v>
      </c>
      <c r="J18" s="342" t="s">
        <v>653</v>
      </c>
      <c r="K18" s="342" t="s">
        <v>654</v>
      </c>
      <c r="L18" s="342" t="s">
        <v>628</v>
      </c>
      <c r="M18" s="342" t="s">
        <v>655</v>
      </c>
      <c r="N18" s="342" t="s">
        <v>571</v>
      </c>
      <c r="O18" s="340" t="str">
        <f>$O$30</f>
        <v xml:space="preserve">  нет  </v>
      </c>
    </row>
    <row r="19" spans="1:15" s="327" customFormat="1" ht="310.5" customHeight="1" x14ac:dyDescent="0.2">
      <c r="A19" s="337" t="s">
        <v>399</v>
      </c>
      <c r="B19" s="337" t="s">
        <v>607</v>
      </c>
      <c r="C19" s="337" t="s">
        <v>610</v>
      </c>
      <c r="D19" s="339" t="s">
        <v>622</v>
      </c>
      <c r="E19" s="339" t="s">
        <v>627</v>
      </c>
      <c r="F19" s="338" t="s">
        <v>619</v>
      </c>
      <c r="G19" s="340" t="s">
        <v>605</v>
      </c>
      <c r="H19" s="343">
        <v>4</v>
      </c>
      <c r="I19" s="342" t="str">
        <f>'[2]План на 2012 изм (3)'!$I$20</f>
        <v>01401364000</v>
      </c>
      <c r="J19" s="342" t="s">
        <v>617</v>
      </c>
      <c r="K19" s="340">
        <v>700000</v>
      </c>
      <c r="L19" s="342" t="s">
        <v>624</v>
      </c>
      <c r="M19" s="342" t="s">
        <v>623</v>
      </c>
      <c r="N19" s="342" t="s">
        <v>571</v>
      </c>
      <c r="O19" s="340" t="s">
        <v>557</v>
      </c>
    </row>
    <row r="20" spans="1:15" s="327" customFormat="1" ht="198" customHeight="1" x14ac:dyDescent="0.2">
      <c r="A20" s="337" t="s">
        <v>400</v>
      </c>
      <c r="B20" s="337" t="s">
        <v>608</v>
      </c>
      <c r="C20" s="337" t="s">
        <v>600</v>
      </c>
      <c r="D20" s="339" t="s">
        <v>629</v>
      </c>
      <c r="E20" s="339" t="s">
        <v>626</v>
      </c>
      <c r="F20" s="338" t="str">
        <f>$F$19</f>
        <v>642</v>
      </c>
      <c r="G20" s="340" t="str">
        <f>$G$19</f>
        <v>ед</v>
      </c>
      <c r="H20" s="341">
        <v>1</v>
      </c>
      <c r="I20" s="342" t="str">
        <f>'[2]План на 2012 изм (3)'!$I$20</f>
        <v>01401364000</v>
      </c>
      <c r="J20" s="342" t="str">
        <f>$J$19</f>
        <v>г. Барнаул</v>
      </c>
      <c r="K20" s="340">
        <v>240000</v>
      </c>
      <c r="L20" s="342" t="s">
        <v>628</v>
      </c>
      <c r="M20" s="342" t="s">
        <v>625</v>
      </c>
      <c r="N20" s="342" t="s">
        <v>571</v>
      </c>
      <c r="O20" s="340" t="s">
        <v>557</v>
      </c>
    </row>
    <row r="21" spans="1:15" s="327" customFormat="1" ht="165" customHeight="1" x14ac:dyDescent="0.2">
      <c r="A21" s="337" t="s">
        <v>593</v>
      </c>
      <c r="B21" s="337" t="s">
        <v>609</v>
      </c>
      <c r="C21" s="338" t="s">
        <v>612</v>
      </c>
      <c r="D21" s="339" t="s">
        <v>603</v>
      </c>
      <c r="E21" s="339" t="s">
        <v>620</v>
      </c>
      <c r="F21" s="338" t="str">
        <f>$F$20</f>
        <v>642</v>
      </c>
      <c r="G21" s="340" t="str">
        <f>$G$20</f>
        <v>ед</v>
      </c>
      <c r="H21" s="341">
        <v>1</v>
      </c>
      <c r="I21" s="342" t="str">
        <f>'[2]План на 2012 изм (3)'!$I$20</f>
        <v>01401364000</v>
      </c>
      <c r="J21" s="342" t="str">
        <f>$J$20</f>
        <v>г. Барнаул</v>
      </c>
      <c r="K21" s="340">
        <v>900000</v>
      </c>
      <c r="L21" s="342" t="s">
        <v>604</v>
      </c>
      <c r="M21" s="342" t="str">
        <f>$M$20</f>
        <v>30.09.2017</v>
      </c>
      <c r="N21" s="342" t="str">
        <f>$N$19</f>
        <v>Запрос предложений</v>
      </c>
      <c r="O21" s="340" t="s">
        <v>715</v>
      </c>
    </row>
    <row r="22" spans="1:15" s="327" customFormat="1" ht="126" customHeight="1" x14ac:dyDescent="0.2">
      <c r="A22" s="337" t="s">
        <v>598</v>
      </c>
      <c r="B22" s="337" t="s">
        <v>614</v>
      </c>
      <c r="C22" s="337" t="s">
        <v>615</v>
      </c>
      <c r="D22" s="339" t="s">
        <v>645</v>
      </c>
      <c r="E22" s="339" t="s">
        <v>621</v>
      </c>
      <c r="F22" s="338" t="s">
        <v>618</v>
      </c>
      <c r="G22" s="340" t="s">
        <v>661</v>
      </c>
      <c r="H22" s="341">
        <v>180</v>
      </c>
      <c r="I22" s="342" t="str">
        <f>'[2]План на 2012 изм (3)'!$I$20</f>
        <v>01401364000</v>
      </c>
      <c r="J22" s="342" t="str">
        <f>$J$20</f>
        <v>г. Барнаул</v>
      </c>
      <c r="K22" s="342" t="s">
        <v>636</v>
      </c>
      <c r="L22" s="342" t="s">
        <v>634</v>
      </c>
      <c r="M22" s="342" t="s">
        <v>634</v>
      </c>
      <c r="N22" s="342" t="s">
        <v>594</v>
      </c>
      <c r="O22" s="340" t="s">
        <v>595</v>
      </c>
    </row>
    <row r="23" spans="1:15" s="327" customFormat="1" ht="176.25" customHeight="1" x14ac:dyDescent="0.2">
      <c r="A23" s="337" t="s">
        <v>599</v>
      </c>
      <c r="B23" s="337" t="s">
        <v>614</v>
      </c>
      <c r="C23" s="337" t="s">
        <v>615</v>
      </c>
      <c r="D23" s="344" t="s">
        <v>640</v>
      </c>
      <c r="E23" s="339" t="s">
        <v>621</v>
      </c>
      <c r="F23" s="338" t="s">
        <v>618</v>
      </c>
      <c r="G23" s="340" t="s">
        <v>660</v>
      </c>
      <c r="H23" s="341">
        <v>97</v>
      </c>
      <c r="I23" s="342" t="str">
        <f>'[2]План на 2012 изм (3)'!$I$20</f>
        <v>01401364000</v>
      </c>
      <c r="J23" s="342" t="str">
        <f>$J$20</f>
        <v>г. Барнаул</v>
      </c>
      <c r="K23" s="342" t="s">
        <v>639</v>
      </c>
      <c r="L23" s="342" t="s">
        <v>634</v>
      </c>
      <c r="M23" s="342" t="s">
        <v>634</v>
      </c>
      <c r="N23" s="342" t="s">
        <v>594</v>
      </c>
      <c r="O23" s="340" t="s">
        <v>595</v>
      </c>
    </row>
    <row r="24" spans="1:15" s="327" customFormat="1" ht="192.75" customHeight="1" x14ac:dyDescent="0.2">
      <c r="A24" s="337" t="s">
        <v>526</v>
      </c>
      <c r="B24" s="337" t="s">
        <v>614</v>
      </c>
      <c r="C24" s="337" t="s">
        <v>615</v>
      </c>
      <c r="D24" s="339" t="s">
        <v>641</v>
      </c>
      <c r="E24" s="339" t="s">
        <v>621</v>
      </c>
      <c r="F24" s="338" t="s">
        <v>618</v>
      </c>
      <c r="G24" s="340" t="s">
        <v>661</v>
      </c>
      <c r="H24" s="341">
        <v>100</v>
      </c>
      <c r="I24" s="342" t="str">
        <f>'[2]План на 2012 изм (3)'!$I$20</f>
        <v>01401364000</v>
      </c>
      <c r="J24" s="342" t="str">
        <f>$J$20</f>
        <v>г. Барнаул</v>
      </c>
      <c r="K24" s="342" t="s">
        <v>638</v>
      </c>
      <c r="L24" s="342" t="s">
        <v>634</v>
      </c>
      <c r="M24" s="342" t="s">
        <v>634</v>
      </c>
      <c r="N24" s="342" t="s">
        <v>594</v>
      </c>
      <c r="O24" s="340" t="s">
        <v>595</v>
      </c>
    </row>
    <row r="25" spans="1:15" s="327" customFormat="1" ht="129" customHeight="1" x14ac:dyDescent="0.2">
      <c r="A25" s="337" t="s">
        <v>530</v>
      </c>
      <c r="B25" s="337" t="s">
        <v>614</v>
      </c>
      <c r="C25" s="337" t="s">
        <v>615</v>
      </c>
      <c r="D25" s="344" t="s">
        <v>646</v>
      </c>
      <c r="E25" s="339" t="s">
        <v>621</v>
      </c>
      <c r="F25" s="338" t="s">
        <v>618</v>
      </c>
      <c r="G25" s="340" t="s">
        <v>661</v>
      </c>
      <c r="H25" s="341">
        <v>258</v>
      </c>
      <c r="I25" s="342" t="str">
        <f>'[2]План на 2012 изм (3)'!$I$20</f>
        <v>01401364000</v>
      </c>
      <c r="J25" s="342" t="str">
        <f>$J$20</f>
        <v>г. Барнаул</v>
      </c>
      <c r="K25" s="342" t="s">
        <v>637</v>
      </c>
      <c r="L25" s="342" t="s">
        <v>634</v>
      </c>
      <c r="M25" s="342" t="s">
        <v>634</v>
      </c>
      <c r="N25" s="342" t="s">
        <v>594</v>
      </c>
      <c r="O25" s="340" t="s">
        <v>595</v>
      </c>
    </row>
    <row r="26" spans="1:15" s="327" customFormat="1" ht="215.25" customHeight="1" x14ac:dyDescent="0.2">
      <c r="A26" s="337" t="s">
        <v>537</v>
      </c>
      <c r="B26" s="337" t="s">
        <v>614</v>
      </c>
      <c r="C26" s="337" t="s">
        <v>615</v>
      </c>
      <c r="D26" s="339" t="s">
        <v>642</v>
      </c>
      <c r="E26" s="339" t="s">
        <v>621</v>
      </c>
      <c r="F26" s="338" t="s">
        <v>618</v>
      </c>
      <c r="G26" s="340" t="s">
        <v>661</v>
      </c>
      <c r="H26" s="341">
        <v>450</v>
      </c>
      <c r="I26" s="342" t="str">
        <f>'[2]План на 2012 изм (3)'!$I$20</f>
        <v>01401364000</v>
      </c>
      <c r="J26" s="342" t="str">
        <f>J21</f>
        <v>г. Барнаул</v>
      </c>
      <c r="K26" s="342">
        <v>1900000</v>
      </c>
      <c r="L26" s="342" t="s">
        <v>634</v>
      </c>
      <c r="M26" s="342" t="s">
        <v>634</v>
      </c>
      <c r="N26" s="342" t="s">
        <v>594</v>
      </c>
      <c r="O26" s="340" t="s">
        <v>595</v>
      </c>
    </row>
    <row r="27" spans="1:15" s="327" customFormat="1" ht="202.5" customHeight="1" x14ac:dyDescent="0.2">
      <c r="A27" s="337" t="s">
        <v>538</v>
      </c>
      <c r="B27" s="337" t="s">
        <v>614</v>
      </c>
      <c r="C27" s="337" t="s">
        <v>615</v>
      </c>
      <c r="D27" s="339" t="s">
        <v>643</v>
      </c>
      <c r="E27" s="339" t="s">
        <v>621</v>
      </c>
      <c r="F27" s="338" t="s">
        <v>618</v>
      </c>
      <c r="G27" s="340" t="s">
        <v>661</v>
      </c>
      <c r="H27" s="341">
        <v>630</v>
      </c>
      <c r="I27" s="342" t="str">
        <f>'[2]План на 2012 изм (3)'!$I$20</f>
        <v>01401364000</v>
      </c>
      <c r="J27" s="342" t="str">
        <f>J22</f>
        <v>г. Барнаул</v>
      </c>
      <c r="K27" s="342" t="s">
        <v>633</v>
      </c>
      <c r="L27" s="342" t="s">
        <v>634</v>
      </c>
      <c r="M27" s="342" t="s">
        <v>634</v>
      </c>
      <c r="N27" s="342" t="s">
        <v>594</v>
      </c>
      <c r="O27" s="340" t="s">
        <v>595</v>
      </c>
    </row>
    <row r="28" spans="1:15" s="327" customFormat="1" ht="90.75" customHeight="1" x14ac:dyDescent="0.2">
      <c r="A28" s="337" t="s">
        <v>539</v>
      </c>
      <c r="B28" s="337" t="s">
        <v>667</v>
      </c>
      <c r="C28" s="337" t="s">
        <v>668</v>
      </c>
      <c r="D28" s="339" t="s">
        <v>666</v>
      </c>
      <c r="E28" s="339" t="str">
        <f t="shared" ref="E28:J28" si="0">E27</f>
        <v>В соответствии с требованиями действующего законодательства РФ и условиям договора</v>
      </c>
      <c r="F28" s="337" t="s">
        <v>619</v>
      </c>
      <c r="G28" s="340" t="s">
        <v>616</v>
      </c>
      <c r="H28" s="341">
        <v>9</v>
      </c>
      <c r="I28" s="342">
        <f>$I$18</f>
        <v>1413000000</v>
      </c>
      <c r="J28" s="342" t="str">
        <f t="shared" si="0"/>
        <v>г. Барнаул</v>
      </c>
      <c r="K28" s="342" t="s">
        <v>681</v>
      </c>
      <c r="L28" s="342" t="s">
        <v>680</v>
      </c>
      <c r="M28" s="342" t="s">
        <v>669</v>
      </c>
      <c r="N28" s="342" t="s">
        <v>594</v>
      </c>
      <c r="O28" s="340" t="s">
        <v>557</v>
      </c>
    </row>
    <row r="29" spans="1:15" s="327" customFormat="1" ht="93" customHeight="1" x14ac:dyDescent="0.2">
      <c r="A29" s="337" t="s">
        <v>540</v>
      </c>
      <c r="B29" s="337" t="s">
        <v>610</v>
      </c>
      <c r="C29" s="337" t="s">
        <v>632</v>
      </c>
      <c r="D29" s="339" t="s">
        <v>631</v>
      </c>
      <c r="E29" s="339" t="s">
        <v>621</v>
      </c>
      <c r="F29" s="337" t="str">
        <f>$F$20</f>
        <v>642</v>
      </c>
      <c r="G29" s="340" t="s">
        <v>616</v>
      </c>
      <c r="H29" s="341">
        <v>3</v>
      </c>
      <c r="I29" s="342" t="s">
        <v>601</v>
      </c>
      <c r="J29" s="342" t="s">
        <v>617</v>
      </c>
      <c r="K29" s="340">
        <v>1400000</v>
      </c>
      <c r="L29" s="342" t="s">
        <v>613</v>
      </c>
      <c r="M29" s="342" t="s">
        <v>630</v>
      </c>
      <c r="N29" s="342" t="s">
        <v>571</v>
      </c>
      <c r="O29" s="340" t="s">
        <v>557</v>
      </c>
    </row>
    <row r="30" spans="1:15" s="327" customFormat="1" ht="76.5" customHeight="1" x14ac:dyDescent="0.2">
      <c r="A30" s="337" t="s">
        <v>543</v>
      </c>
      <c r="B30" s="337" t="s">
        <v>614</v>
      </c>
      <c r="C30" s="337" t="s">
        <v>615</v>
      </c>
      <c r="D30" s="339" t="s">
        <v>644</v>
      </c>
      <c r="E30" s="339" t="s">
        <v>621</v>
      </c>
      <c r="F30" s="338" t="s">
        <v>618</v>
      </c>
      <c r="G30" s="340" t="s">
        <v>661</v>
      </c>
      <c r="H30" s="341">
        <v>618</v>
      </c>
      <c r="I30" s="342" t="str">
        <f>'[2]План на 2012 изм (3)'!$I$20</f>
        <v>01401364000</v>
      </c>
      <c r="J30" s="342" t="s">
        <v>617</v>
      </c>
      <c r="K30" s="342" t="s">
        <v>635</v>
      </c>
      <c r="L30" s="342" t="s">
        <v>634</v>
      </c>
      <c r="M30" s="342" t="s">
        <v>634</v>
      </c>
      <c r="N30" s="342" t="s">
        <v>594</v>
      </c>
      <c r="O30" s="340" t="s">
        <v>595</v>
      </c>
    </row>
    <row r="31" spans="1:15" s="327" customFormat="1" ht="154.5" customHeight="1" x14ac:dyDescent="0.2">
      <c r="A31" s="337" t="s">
        <v>544</v>
      </c>
      <c r="B31" s="337" t="s">
        <v>610</v>
      </c>
      <c r="C31" s="337" t="s">
        <v>610</v>
      </c>
      <c r="D31" s="339" t="s">
        <v>658</v>
      </c>
      <c r="E31" s="339" t="str">
        <f>E33</f>
        <v>В соответствии с требованиями действующего законодательства РФ и условиям договора</v>
      </c>
      <c r="F31" s="338" t="s">
        <v>619</v>
      </c>
      <c r="G31" s="340" t="s">
        <v>616</v>
      </c>
      <c r="H31" s="341">
        <v>1</v>
      </c>
      <c r="I31" s="342" t="str">
        <f>'[2]План на 2012 изм (3)'!$I$20</f>
        <v>01401364000</v>
      </c>
      <c r="J31" s="342" t="s">
        <v>617</v>
      </c>
      <c r="K31" s="340">
        <v>0</v>
      </c>
      <c r="L31" s="342" t="s">
        <v>624</v>
      </c>
      <c r="M31" s="342" t="s">
        <v>624</v>
      </c>
      <c r="N31" s="342" t="s">
        <v>571</v>
      </c>
      <c r="O31" s="340" t="s">
        <v>659</v>
      </c>
    </row>
    <row r="32" spans="1:15" s="327" customFormat="1" ht="409.5" customHeight="1" x14ac:dyDescent="0.2">
      <c r="A32" s="337" t="s">
        <v>545</v>
      </c>
      <c r="B32" s="337" t="s">
        <v>664</v>
      </c>
      <c r="C32" s="337" t="s">
        <v>664</v>
      </c>
      <c r="D32" s="339" t="s">
        <v>656</v>
      </c>
      <c r="E32" s="339" t="str">
        <f>$E$18</f>
        <v>В соответствии с требованиями действующего законодательства РФ и условиям договора</v>
      </c>
      <c r="F32" s="337" t="s">
        <v>662</v>
      </c>
      <c r="G32" s="327" t="s">
        <v>17</v>
      </c>
      <c r="H32" s="341" t="s">
        <v>657</v>
      </c>
      <c r="I32" s="342">
        <f>$I$18</f>
        <v>1413000000</v>
      </c>
      <c r="J32" s="342" t="str">
        <f>$J$18</f>
        <v>г.Барнаул</v>
      </c>
      <c r="K32" s="340">
        <v>0</v>
      </c>
      <c r="L32" s="342" t="s">
        <v>624</v>
      </c>
      <c r="M32" s="342" t="s">
        <v>624</v>
      </c>
      <c r="N32" s="342" t="str">
        <f>N18</f>
        <v>Запрос предложений</v>
      </c>
      <c r="O32" s="340" t="s">
        <v>648</v>
      </c>
    </row>
    <row r="33" spans="1:15" s="327" customFormat="1" ht="133.5" customHeight="1" x14ac:dyDescent="0.2">
      <c r="A33" s="337" t="s">
        <v>546</v>
      </c>
      <c r="B33" s="337" t="s">
        <v>667</v>
      </c>
      <c r="C33" s="337" t="s">
        <v>668</v>
      </c>
      <c r="D33" s="339" t="s">
        <v>666</v>
      </c>
      <c r="E33" s="339" t="str">
        <f t="shared" ref="E33:J33" si="1">E32</f>
        <v>В соответствии с требованиями действующего законодательства РФ и условиям договора</v>
      </c>
      <c r="F33" s="337" t="s">
        <v>619</v>
      </c>
      <c r="G33" s="340" t="s">
        <v>616</v>
      </c>
      <c r="H33" s="341">
        <v>9</v>
      </c>
      <c r="I33" s="342">
        <f>$I$18</f>
        <v>1413000000</v>
      </c>
      <c r="J33" s="342" t="str">
        <f t="shared" si="1"/>
        <v>г.Барнаул</v>
      </c>
      <c r="K33" s="340">
        <v>0</v>
      </c>
      <c r="L33" s="342" t="s">
        <v>624</v>
      </c>
      <c r="M33" s="342" t="s">
        <v>669</v>
      </c>
      <c r="N33" s="342" t="s">
        <v>571</v>
      </c>
      <c r="O33" s="340" t="s">
        <v>659</v>
      </c>
    </row>
    <row r="34" spans="1:15" s="327" customFormat="1" ht="133.5" customHeight="1" x14ac:dyDescent="0.2">
      <c r="A34" s="337" t="s">
        <v>547</v>
      </c>
      <c r="B34" s="337" t="s">
        <v>650</v>
      </c>
      <c r="C34" s="337" t="s">
        <v>647</v>
      </c>
      <c r="D34" s="339" t="s">
        <v>651</v>
      </c>
      <c r="E34" s="339" t="str">
        <f>E31</f>
        <v>В соответствии с требованиями действующего законодательства РФ и условиям договора</v>
      </c>
      <c r="F34" s="338" t="s">
        <v>619</v>
      </c>
      <c r="G34" s="340" t="s">
        <v>616</v>
      </c>
      <c r="H34" s="341">
        <v>1</v>
      </c>
      <c r="I34" s="342" t="str">
        <f>'[2]План на 2012 изм (3)'!$I$20</f>
        <v>01401364000</v>
      </c>
      <c r="J34" s="342" t="s">
        <v>617</v>
      </c>
      <c r="K34" s="340">
        <v>639990</v>
      </c>
      <c r="L34" s="342" t="s">
        <v>624</v>
      </c>
      <c r="M34" s="342" t="s">
        <v>624</v>
      </c>
      <c r="N34" s="342" t="s">
        <v>670</v>
      </c>
      <c r="O34" s="340" t="s">
        <v>557</v>
      </c>
    </row>
    <row r="35" spans="1:15" s="327" customFormat="1" ht="133.5" customHeight="1" x14ac:dyDescent="0.2">
      <c r="A35" s="337" t="s">
        <v>548</v>
      </c>
      <c r="B35" s="337" t="s">
        <v>673</v>
      </c>
      <c r="C35" s="337" t="s">
        <v>673</v>
      </c>
      <c r="D35" s="339" t="s">
        <v>672</v>
      </c>
      <c r="E35" s="339" t="str">
        <f>E32</f>
        <v>В соответствии с требованиями действующего законодательства РФ и условиям договора</v>
      </c>
      <c r="F35" s="338" t="str">
        <f t="shared" ref="F35" si="2">F33</f>
        <v>642</v>
      </c>
      <c r="G35" s="340" t="str">
        <f t="shared" ref="G35" si="3">G33</f>
        <v>ед.</v>
      </c>
      <c r="H35" s="341">
        <v>1</v>
      </c>
      <c r="I35" s="342">
        <f t="shared" ref="I35" si="4">I33</f>
        <v>1413000000</v>
      </c>
      <c r="J35" s="342" t="str">
        <f t="shared" ref="J35" si="5">J33</f>
        <v>г.Барнаул</v>
      </c>
      <c r="K35" s="340">
        <v>650000</v>
      </c>
      <c r="L35" s="342" t="s">
        <v>624</v>
      </c>
      <c r="M35" s="342" t="s">
        <v>675</v>
      </c>
      <c r="N35" s="342" t="s">
        <v>571</v>
      </c>
      <c r="O35" s="340" t="s">
        <v>557</v>
      </c>
    </row>
    <row r="36" spans="1:15" s="327" customFormat="1" ht="133.5" customHeight="1" x14ac:dyDescent="0.2">
      <c r="A36" s="337" t="s">
        <v>549</v>
      </c>
      <c r="B36" s="337" t="s">
        <v>673</v>
      </c>
      <c r="C36" s="337" t="s">
        <v>673</v>
      </c>
      <c r="D36" s="339" t="s">
        <v>671</v>
      </c>
      <c r="E36" s="339" t="str">
        <f>E32</f>
        <v>В соответствии с требованиями действующего законодательства РФ и условиям договора</v>
      </c>
      <c r="F36" s="338" t="str">
        <f t="shared" ref="F36:J36" si="6">F34</f>
        <v>642</v>
      </c>
      <c r="G36" s="340" t="str">
        <f t="shared" si="6"/>
        <v>ед.</v>
      </c>
      <c r="H36" s="341">
        <f t="shared" si="6"/>
        <v>1</v>
      </c>
      <c r="I36" s="342" t="str">
        <f t="shared" si="6"/>
        <v>01401364000</v>
      </c>
      <c r="J36" s="342" t="str">
        <f t="shared" si="6"/>
        <v>г. Барнаул</v>
      </c>
      <c r="K36" s="340">
        <v>350000</v>
      </c>
      <c r="L36" s="342" t="s">
        <v>624</v>
      </c>
      <c r="M36" s="342" t="s">
        <v>674</v>
      </c>
      <c r="N36" s="342" t="s">
        <v>571</v>
      </c>
      <c r="O36" s="340" t="s">
        <v>557</v>
      </c>
    </row>
    <row r="37" spans="1:15" s="327" customFormat="1" ht="133.5" customHeight="1" x14ac:dyDescent="0.2">
      <c r="A37" s="337" t="s">
        <v>550</v>
      </c>
      <c r="B37" s="337" t="s">
        <v>650</v>
      </c>
      <c r="C37" s="337" t="s">
        <v>647</v>
      </c>
      <c r="D37" s="339" t="s">
        <v>651</v>
      </c>
      <c r="E37" s="339" t="str">
        <f>E31</f>
        <v>В соответствии с требованиями действующего законодательства РФ и условиям договора</v>
      </c>
      <c r="F37" s="338" t="s">
        <v>619</v>
      </c>
      <c r="G37" s="340" t="s">
        <v>616</v>
      </c>
      <c r="H37" s="341">
        <v>1</v>
      </c>
      <c r="I37" s="342" t="str">
        <f>'[2]План на 2012 изм (3)'!$I$20</f>
        <v>01401364000</v>
      </c>
      <c r="J37" s="342" t="s">
        <v>617</v>
      </c>
      <c r="K37" s="340">
        <v>0</v>
      </c>
      <c r="L37" s="342" t="s">
        <v>628</v>
      </c>
      <c r="M37" s="342" t="s">
        <v>628</v>
      </c>
      <c r="N37" s="342" t="s">
        <v>571</v>
      </c>
      <c r="O37" s="340" t="s">
        <v>648</v>
      </c>
    </row>
    <row r="38" spans="1:15" s="327" customFormat="1" ht="133.5" customHeight="1" x14ac:dyDescent="0.2">
      <c r="A38" s="337" t="s">
        <v>551</v>
      </c>
      <c r="B38" s="337" t="s">
        <v>678</v>
      </c>
      <c r="C38" s="337" t="s">
        <v>679</v>
      </c>
      <c r="D38" s="339" t="s">
        <v>676</v>
      </c>
      <c r="E38" s="339" t="str">
        <f>E32</f>
        <v>В соответствии с требованиями действующего законодательства РФ и условиям договора</v>
      </c>
      <c r="F38" s="338" t="s">
        <v>619</v>
      </c>
      <c r="G38" s="340" t="s">
        <v>665</v>
      </c>
      <c r="H38" s="341">
        <v>1</v>
      </c>
      <c r="I38" s="342" t="str">
        <f>'[2]План на 2012 изм (3)'!$I$20</f>
        <v>01401364000</v>
      </c>
      <c r="J38" s="342" t="s">
        <v>617</v>
      </c>
      <c r="K38" s="340">
        <v>10000000</v>
      </c>
      <c r="L38" s="342" t="s">
        <v>624</v>
      </c>
      <c r="M38" s="342" t="s">
        <v>677</v>
      </c>
      <c r="N38" s="342" t="s">
        <v>594</v>
      </c>
      <c r="O38" s="340" t="s">
        <v>557</v>
      </c>
    </row>
    <row r="39" spans="1:15" s="327" customFormat="1" ht="409.5" customHeight="1" x14ac:dyDescent="0.2">
      <c r="A39" s="337" t="s">
        <v>552</v>
      </c>
      <c r="B39" s="337" t="s">
        <v>664</v>
      </c>
      <c r="C39" s="337" t="s">
        <v>664</v>
      </c>
      <c r="D39" s="339" t="s">
        <v>656</v>
      </c>
      <c r="E39" s="339" t="str">
        <f>$E$18</f>
        <v>В соответствии с требованиями действующего законодательства РФ и условиям договора</v>
      </c>
      <c r="F39" s="337" t="s">
        <v>662</v>
      </c>
      <c r="G39" s="353" t="s">
        <v>17</v>
      </c>
      <c r="H39" s="341" t="s">
        <v>657</v>
      </c>
      <c r="I39" s="342">
        <f>$I$18</f>
        <v>1413000000</v>
      </c>
      <c r="J39" s="342" t="str">
        <f>$J$18</f>
        <v>г.Барнаул</v>
      </c>
      <c r="K39" s="340">
        <v>1804340</v>
      </c>
      <c r="L39" s="342" t="s">
        <v>624</v>
      </c>
      <c r="M39" s="342" t="s">
        <v>680</v>
      </c>
      <c r="N39" s="342" t="str">
        <f>N25</f>
        <v xml:space="preserve">  Закупка у единственного поставщика  </v>
      </c>
      <c r="O39" s="340" t="s">
        <v>659</v>
      </c>
    </row>
    <row r="40" spans="1:15" s="327" customFormat="1" ht="147" customHeight="1" x14ac:dyDescent="0.2">
      <c r="A40" s="337" t="s">
        <v>695</v>
      </c>
      <c r="B40" s="337" t="s">
        <v>610</v>
      </c>
      <c r="C40" s="337" t="s">
        <v>610</v>
      </c>
      <c r="D40" s="339" t="s">
        <v>658</v>
      </c>
      <c r="E40" s="339" t="s">
        <v>687</v>
      </c>
      <c r="F40" s="338" t="s">
        <v>619</v>
      </c>
      <c r="G40" s="340" t="s">
        <v>616</v>
      </c>
      <c r="H40" s="341">
        <v>1</v>
      </c>
      <c r="I40" s="342" t="str">
        <f>'[2]План на 2012 изм (3)'!$I$20</f>
        <v>01401364000</v>
      </c>
      <c r="J40" s="342" t="s">
        <v>617</v>
      </c>
      <c r="K40" s="340">
        <v>181380</v>
      </c>
      <c r="L40" s="342" t="s">
        <v>624</v>
      </c>
      <c r="M40" s="342" t="s">
        <v>680</v>
      </c>
      <c r="N40" s="342" t="str">
        <f>$N$38</f>
        <v xml:space="preserve">  Закупка у единственного поставщика  </v>
      </c>
      <c r="O40" s="340" t="s">
        <v>659</v>
      </c>
    </row>
    <row r="41" spans="1:15" s="327" customFormat="1" ht="118.5" customHeight="1" x14ac:dyDescent="0.2">
      <c r="A41" s="337" t="s">
        <v>682</v>
      </c>
      <c r="B41" s="337" t="s">
        <v>696</v>
      </c>
      <c r="C41" s="337" t="s">
        <v>615</v>
      </c>
      <c r="D41" s="339" t="s">
        <v>686</v>
      </c>
      <c r="E41" s="339" t="s">
        <v>687</v>
      </c>
      <c r="F41" s="338" t="s">
        <v>619</v>
      </c>
      <c r="G41" s="340" t="s">
        <v>616</v>
      </c>
      <c r="H41" s="341">
        <v>1</v>
      </c>
      <c r="I41" s="342" t="str">
        <f>'[2]План на 2012 изм (3)'!$I$20</f>
        <v>01401364000</v>
      </c>
      <c r="J41" s="342" t="s">
        <v>617</v>
      </c>
      <c r="K41" s="340" t="s">
        <v>688</v>
      </c>
      <c r="L41" s="342" t="s">
        <v>689</v>
      </c>
      <c r="M41" s="342" t="s">
        <v>680</v>
      </c>
      <c r="N41" s="342" t="str">
        <f t="shared" ref="N41:N43" si="7">$N$38</f>
        <v xml:space="preserve">  Закупка у единственного поставщика  </v>
      </c>
      <c r="O41" s="340" t="s">
        <v>659</v>
      </c>
    </row>
    <row r="42" spans="1:15" s="327" customFormat="1" ht="120" customHeight="1" x14ac:dyDescent="0.2">
      <c r="A42" s="337" t="s">
        <v>683</v>
      </c>
      <c r="B42" s="337" t="s">
        <v>685</v>
      </c>
      <c r="C42" s="355" t="s">
        <v>615</v>
      </c>
      <c r="D42" s="357" t="s">
        <v>691</v>
      </c>
      <c r="E42" s="356" t="s">
        <v>687</v>
      </c>
      <c r="F42" s="338" t="s">
        <v>618</v>
      </c>
      <c r="G42" s="340" t="s">
        <v>661</v>
      </c>
      <c r="H42" s="341">
        <v>505</v>
      </c>
      <c r="I42" s="342" t="str">
        <f>'[2]План на 2012 изм (3)'!$I$20</f>
        <v>01401364000</v>
      </c>
      <c r="J42" s="342" t="s">
        <v>617</v>
      </c>
      <c r="K42" s="340" t="s">
        <v>692</v>
      </c>
      <c r="L42" s="342" t="s">
        <v>680</v>
      </c>
      <c r="M42" s="342" t="s">
        <v>680</v>
      </c>
      <c r="N42" s="342" t="str">
        <f t="shared" si="7"/>
        <v xml:space="preserve">  Закупка у единственного поставщика  </v>
      </c>
      <c r="O42" s="340" t="s">
        <v>659</v>
      </c>
    </row>
    <row r="43" spans="1:15" s="327" customFormat="1" ht="120" customHeight="1" x14ac:dyDescent="0.2">
      <c r="A43" s="337" t="s">
        <v>684</v>
      </c>
      <c r="B43" s="337" t="s">
        <v>685</v>
      </c>
      <c r="C43" s="355" t="s">
        <v>615</v>
      </c>
      <c r="D43" s="357" t="s">
        <v>693</v>
      </c>
      <c r="E43" s="356" t="s">
        <v>687</v>
      </c>
      <c r="F43" s="338" t="s">
        <v>618</v>
      </c>
      <c r="G43" s="340" t="s">
        <v>661</v>
      </c>
      <c r="H43" s="341">
        <v>307</v>
      </c>
      <c r="I43" s="342" t="str">
        <f>'[2]План на 2012 изм (3)'!$I$20</f>
        <v>01401364000</v>
      </c>
      <c r="J43" s="342" t="s">
        <v>617</v>
      </c>
      <c r="K43" s="340" t="s">
        <v>690</v>
      </c>
      <c r="L43" s="342" t="s">
        <v>680</v>
      </c>
      <c r="M43" s="342" t="s">
        <v>680</v>
      </c>
      <c r="N43" s="342" t="str">
        <f t="shared" si="7"/>
        <v xml:space="preserve">  Закупка у единственного поставщика  </v>
      </c>
      <c r="O43" s="340" t="s">
        <v>659</v>
      </c>
    </row>
    <row r="44" spans="1:15" s="327" customFormat="1" ht="120" customHeight="1" x14ac:dyDescent="0.2">
      <c r="A44" s="337" t="s">
        <v>697</v>
      </c>
      <c r="B44" s="337" t="s">
        <v>673</v>
      </c>
      <c r="C44" s="355" t="s">
        <v>673</v>
      </c>
      <c r="D44" s="339" t="s">
        <v>698</v>
      </c>
      <c r="E44" s="356" t="s">
        <v>687</v>
      </c>
      <c r="F44" s="338" t="str">
        <f>F42</f>
        <v>006</v>
      </c>
      <c r="G44" s="340" t="str">
        <f>G42</f>
        <v>м</v>
      </c>
      <c r="H44" s="341">
        <f>H42</f>
        <v>505</v>
      </c>
      <c r="I44" s="342" t="str">
        <f>I42</f>
        <v>01401364000</v>
      </c>
      <c r="J44" s="342" t="str">
        <f>J42</f>
        <v>г. Барнаул</v>
      </c>
      <c r="K44" s="337">
        <v>810316</v>
      </c>
      <c r="L44" s="337" t="s">
        <v>680</v>
      </c>
      <c r="M44" s="337" t="s">
        <v>699</v>
      </c>
      <c r="N44" s="342" t="s">
        <v>571</v>
      </c>
      <c r="O44" s="337" t="s">
        <v>659</v>
      </c>
    </row>
    <row r="45" spans="1:15" s="327" customFormat="1" ht="120" customHeight="1" x14ac:dyDescent="0.2">
      <c r="A45" s="337" t="s">
        <v>704</v>
      </c>
      <c r="B45" s="338" t="s">
        <v>700</v>
      </c>
      <c r="C45" s="337" t="s">
        <v>701</v>
      </c>
      <c r="D45" s="338" t="s">
        <v>702</v>
      </c>
      <c r="E45" s="338" t="str">
        <f>E40</f>
        <v>в соответствии с требованиями действующего законодательства РФ и условиям договора</v>
      </c>
      <c r="F45" s="338" t="s">
        <v>703</v>
      </c>
      <c r="G45" s="340" t="s">
        <v>665</v>
      </c>
      <c r="H45" s="341">
        <f>H40</f>
        <v>1</v>
      </c>
      <c r="I45" s="342" t="str">
        <f>I40</f>
        <v>01401364000</v>
      </c>
      <c r="J45" s="342" t="str">
        <f>J40</f>
        <v>г. Барнаул</v>
      </c>
      <c r="K45" s="358">
        <v>5800000</v>
      </c>
      <c r="L45" s="342" t="s">
        <v>669</v>
      </c>
      <c r="M45" s="342" t="s">
        <v>746</v>
      </c>
      <c r="N45" s="342" t="s">
        <v>571</v>
      </c>
      <c r="O45" s="340" t="str">
        <f>O40</f>
        <v>Нет</v>
      </c>
    </row>
    <row r="46" spans="1:15" s="327" customFormat="1" ht="120" customHeight="1" x14ac:dyDescent="0.2">
      <c r="A46" s="337" t="s">
        <v>705</v>
      </c>
      <c r="B46" s="337" t="s">
        <v>696</v>
      </c>
      <c r="C46" s="337" t="s">
        <v>615</v>
      </c>
      <c r="D46" s="339" t="s">
        <v>709</v>
      </c>
      <c r="E46" s="338" t="str">
        <f>E41</f>
        <v>в соответствии с требованиями действующего законодательства РФ и условиям договора</v>
      </c>
      <c r="F46" s="338" t="s">
        <v>708</v>
      </c>
      <c r="G46" s="340" t="s">
        <v>574</v>
      </c>
      <c r="H46" s="341">
        <v>27</v>
      </c>
      <c r="I46" s="342" t="str">
        <f t="shared" ref="I46:J47" si="8">I41</f>
        <v>01401364000</v>
      </c>
      <c r="J46" s="342" t="str">
        <f t="shared" si="8"/>
        <v>г. Барнаул</v>
      </c>
      <c r="K46" s="340">
        <v>3500000</v>
      </c>
      <c r="L46" s="342" t="s">
        <v>680</v>
      </c>
      <c r="M46" s="342" t="s">
        <v>680</v>
      </c>
      <c r="N46" s="342" t="str">
        <f t="shared" ref="N46:N48" si="9">$N$38</f>
        <v xml:space="preserve">  Закупка у единственного поставщика  </v>
      </c>
      <c r="O46" s="340" t="s">
        <v>659</v>
      </c>
    </row>
    <row r="47" spans="1:15" s="327" customFormat="1" ht="120" customHeight="1" x14ac:dyDescent="0.2">
      <c r="A47" s="337" t="s">
        <v>706</v>
      </c>
      <c r="B47" s="337" t="s">
        <v>696</v>
      </c>
      <c r="C47" s="337" t="s">
        <v>615</v>
      </c>
      <c r="D47" s="339" t="s">
        <v>710</v>
      </c>
      <c r="E47" s="338" t="str">
        <f>E42</f>
        <v>в соответствии с требованиями действующего законодательства РФ и условиям договора</v>
      </c>
      <c r="F47" s="338" t="s">
        <v>708</v>
      </c>
      <c r="G47" s="340" t="s">
        <v>574</v>
      </c>
      <c r="H47" s="341" t="s">
        <v>711</v>
      </c>
      <c r="I47" s="342" t="str">
        <f t="shared" si="8"/>
        <v>01401364000</v>
      </c>
      <c r="J47" s="342" t="str">
        <f t="shared" si="8"/>
        <v>г. Барнаул</v>
      </c>
      <c r="K47" s="340">
        <v>3500000</v>
      </c>
      <c r="L47" s="342" t="s">
        <v>680</v>
      </c>
      <c r="M47" s="342" t="s">
        <v>680</v>
      </c>
      <c r="N47" s="342" t="str">
        <f t="shared" si="9"/>
        <v xml:space="preserve">  Закупка у единственного поставщика  </v>
      </c>
      <c r="O47" s="340" t="s">
        <v>659</v>
      </c>
    </row>
    <row r="48" spans="1:15" s="327" customFormat="1" ht="140.25" customHeight="1" x14ac:dyDescent="0.2">
      <c r="A48" s="337" t="s">
        <v>707</v>
      </c>
      <c r="B48" s="337" t="s">
        <v>685</v>
      </c>
      <c r="C48" s="355" t="s">
        <v>615</v>
      </c>
      <c r="D48" s="339" t="s">
        <v>714</v>
      </c>
      <c r="E48" s="338" t="str">
        <f>E43</f>
        <v>в соответствии с требованиями действующего законодательства РФ и условиям договора</v>
      </c>
      <c r="F48" s="338" t="s">
        <v>712</v>
      </c>
      <c r="G48" s="340" t="s">
        <v>713</v>
      </c>
      <c r="H48" s="341">
        <v>1465</v>
      </c>
      <c r="I48" s="342" t="str">
        <f>I43</f>
        <v>01401364000</v>
      </c>
      <c r="J48" s="342" t="str">
        <f>J43</f>
        <v>г. Барнаул</v>
      </c>
      <c r="K48" s="340">
        <v>2000000</v>
      </c>
      <c r="L48" s="342" t="s">
        <v>680</v>
      </c>
      <c r="M48" s="342" t="s">
        <v>680</v>
      </c>
      <c r="N48" s="342" t="str">
        <f t="shared" si="9"/>
        <v xml:space="preserve">  Закупка у единственного поставщика  </v>
      </c>
      <c r="O48" s="340" t="s">
        <v>659</v>
      </c>
    </row>
    <row r="49" spans="1:15" s="327" customFormat="1" ht="140.25" customHeight="1" x14ac:dyDescent="0.2">
      <c r="A49" s="337">
        <v>32</v>
      </c>
      <c r="B49" s="337" t="s">
        <v>716</v>
      </c>
      <c r="C49" s="355" t="s">
        <v>717</v>
      </c>
      <c r="D49" s="339" t="s">
        <v>719</v>
      </c>
      <c r="E49" s="338" t="str">
        <f>E40</f>
        <v>в соответствии с требованиями действующего законодательства РФ и условиям договора</v>
      </c>
      <c r="F49" s="338">
        <v>876</v>
      </c>
      <c r="G49" s="340" t="s">
        <v>718</v>
      </c>
      <c r="H49" s="341">
        <v>1</v>
      </c>
      <c r="I49" s="342" t="str">
        <f>I40</f>
        <v>01401364000</v>
      </c>
      <c r="J49" s="342" t="str">
        <f>J40</f>
        <v>г. Барнаул</v>
      </c>
      <c r="K49" s="340">
        <v>10000000</v>
      </c>
      <c r="L49" s="342" t="s">
        <v>669</v>
      </c>
      <c r="M49" s="342" t="s">
        <v>746</v>
      </c>
      <c r="N49" s="342" t="str">
        <f>N31</f>
        <v>Запрос предложений</v>
      </c>
      <c r="O49" s="340" t="s">
        <v>659</v>
      </c>
    </row>
    <row r="50" spans="1:15" s="327" customFormat="1" ht="140.25" customHeight="1" x14ac:dyDescent="0.2">
      <c r="A50" s="337" t="s">
        <v>720</v>
      </c>
      <c r="B50" s="337" t="s">
        <v>673</v>
      </c>
      <c r="C50" s="355" t="s">
        <v>673</v>
      </c>
      <c r="D50" s="339" t="s">
        <v>733</v>
      </c>
      <c r="E50" s="338" t="str">
        <f>E40</f>
        <v>в соответствии с требованиями действующего законодательства РФ и условиям договора</v>
      </c>
      <c r="F50" s="338" t="str">
        <f>F47</f>
        <v>055</v>
      </c>
      <c r="G50" s="340" t="str">
        <f>G47</f>
        <v>м2</v>
      </c>
      <c r="H50" s="341">
        <v>1640</v>
      </c>
      <c r="I50" s="342" t="str">
        <f>I47</f>
        <v>01401364000</v>
      </c>
      <c r="J50" s="342" t="str">
        <f>J47</f>
        <v>г. Барнаул</v>
      </c>
      <c r="K50" s="337" t="s">
        <v>743</v>
      </c>
      <c r="L50" s="337" t="s">
        <v>699</v>
      </c>
      <c r="M50" s="337" t="s">
        <v>669</v>
      </c>
      <c r="N50" s="342" t="s">
        <v>571</v>
      </c>
      <c r="O50" s="337" t="s">
        <v>659</v>
      </c>
    </row>
    <row r="51" spans="1:15" s="327" customFormat="1" ht="140.25" customHeight="1" x14ac:dyDescent="0.2">
      <c r="A51" s="337" t="s">
        <v>721</v>
      </c>
      <c r="B51" s="337" t="s">
        <v>673</v>
      </c>
      <c r="C51" s="355" t="s">
        <v>673</v>
      </c>
      <c r="D51" s="339" t="s">
        <v>734</v>
      </c>
      <c r="E51" s="338" t="str">
        <f>E41</f>
        <v>в соответствии с требованиями действующего законодательства РФ и условиям договора</v>
      </c>
      <c r="F51" s="338" t="str">
        <f>F48</f>
        <v>018</v>
      </c>
      <c r="G51" s="340" t="str">
        <f>G48</f>
        <v>пм</v>
      </c>
      <c r="H51" s="341">
        <v>1640</v>
      </c>
      <c r="I51" s="342" t="str">
        <f>I48</f>
        <v>01401364000</v>
      </c>
      <c r="J51" s="342" t="str">
        <f>J48</f>
        <v>г. Барнаул</v>
      </c>
      <c r="K51" s="337" t="s">
        <v>743</v>
      </c>
      <c r="L51" s="337" t="s">
        <v>699</v>
      </c>
      <c r="M51" s="337" t="s">
        <v>669</v>
      </c>
      <c r="N51" s="342" t="s">
        <v>571</v>
      </c>
      <c r="O51" s="337" t="s">
        <v>659</v>
      </c>
    </row>
    <row r="52" spans="1:15" s="327" customFormat="1" ht="140.25" customHeight="1" x14ac:dyDescent="0.2">
      <c r="A52" s="337" t="s">
        <v>722</v>
      </c>
      <c r="B52" s="337" t="s">
        <v>673</v>
      </c>
      <c r="C52" s="355" t="s">
        <v>673</v>
      </c>
      <c r="D52" s="339" t="s">
        <v>735</v>
      </c>
      <c r="E52" s="338" t="str">
        <f>E41</f>
        <v>в соответствии с требованиями действующего законодательства РФ и условиям договора</v>
      </c>
      <c r="F52" s="338" t="s">
        <v>712</v>
      </c>
      <c r="G52" s="340" t="s">
        <v>713</v>
      </c>
      <c r="H52" s="341">
        <v>1840</v>
      </c>
      <c r="I52" s="342" t="str">
        <f>I48</f>
        <v>01401364000</v>
      </c>
      <c r="J52" s="342" t="str">
        <f>J48</f>
        <v>г. Барнаул</v>
      </c>
      <c r="K52" s="342" t="s">
        <v>743</v>
      </c>
      <c r="L52" s="337" t="s">
        <v>699</v>
      </c>
      <c r="M52" s="337" t="s">
        <v>669</v>
      </c>
      <c r="N52" s="342" t="s">
        <v>571</v>
      </c>
      <c r="O52" s="337" t="s">
        <v>659</v>
      </c>
    </row>
    <row r="53" spans="1:15" s="327" customFormat="1" ht="140.25" customHeight="1" x14ac:dyDescent="0.2">
      <c r="A53" s="337" t="s">
        <v>723</v>
      </c>
      <c r="B53" s="337" t="s">
        <v>673</v>
      </c>
      <c r="C53" s="355" t="s">
        <v>673</v>
      </c>
      <c r="D53" s="339" t="s">
        <v>736</v>
      </c>
      <c r="E53" s="338" t="str">
        <f>E42</f>
        <v>в соответствии с требованиями действующего законодательства РФ и условиям договора</v>
      </c>
      <c r="F53" s="338" t="s">
        <v>712</v>
      </c>
      <c r="G53" s="340" t="s">
        <v>713</v>
      </c>
      <c r="H53" s="341">
        <v>1840</v>
      </c>
      <c r="I53" s="342" t="str">
        <f>I49</f>
        <v>01401364000</v>
      </c>
      <c r="J53" s="342" t="str">
        <f>J49</f>
        <v>г. Барнаул</v>
      </c>
      <c r="K53" s="342" t="s">
        <v>743</v>
      </c>
      <c r="L53" s="337" t="s">
        <v>699</v>
      </c>
      <c r="M53" s="337" t="s">
        <v>669</v>
      </c>
      <c r="N53" s="342" t="s">
        <v>571</v>
      </c>
      <c r="O53" s="337" t="s">
        <v>659</v>
      </c>
    </row>
    <row r="54" spans="1:15" s="327" customFormat="1" ht="140.25" customHeight="1" x14ac:dyDescent="0.2">
      <c r="A54" s="337" t="s">
        <v>730</v>
      </c>
      <c r="B54" s="337" t="s">
        <v>606</v>
      </c>
      <c r="C54" s="338" t="s">
        <v>611</v>
      </c>
      <c r="D54" s="339" t="s">
        <v>739</v>
      </c>
      <c r="E54" s="339" t="str">
        <f>$E$30</f>
        <v>В соответствии с требованиями действующего законодательства РФ и условиям договора</v>
      </c>
      <c r="F54" s="338" t="s">
        <v>618</v>
      </c>
      <c r="G54" s="340" t="s">
        <v>661</v>
      </c>
      <c r="H54" s="341" t="s">
        <v>725</v>
      </c>
      <c r="I54" s="342">
        <v>1413000000</v>
      </c>
      <c r="J54" s="342" t="s">
        <v>653</v>
      </c>
      <c r="K54" s="342" t="s">
        <v>724</v>
      </c>
      <c r="L54" s="342" t="s">
        <v>699</v>
      </c>
      <c r="M54" s="342" t="s">
        <v>604</v>
      </c>
      <c r="N54" s="342" t="s">
        <v>571</v>
      </c>
      <c r="O54" s="340" t="str">
        <f>$O$30</f>
        <v xml:space="preserve">  нет  </v>
      </c>
    </row>
    <row r="55" spans="1:15" s="327" customFormat="1" ht="140.25" customHeight="1" x14ac:dyDescent="0.2">
      <c r="A55" s="337" t="s">
        <v>737</v>
      </c>
      <c r="B55" s="337" t="s">
        <v>726</v>
      </c>
      <c r="C55" s="355" t="s">
        <v>727</v>
      </c>
      <c r="D55" s="339" t="s">
        <v>729</v>
      </c>
      <c r="E55" s="339" t="str">
        <f>$E$30</f>
        <v>В соответствии с требованиями действующего законодательства РФ и условиям договора</v>
      </c>
      <c r="F55" s="338">
        <v>876</v>
      </c>
      <c r="G55" s="340" t="s">
        <v>718</v>
      </c>
      <c r="H55" s="341">
        <v>1</v>
      </c>
      <c r="I55" s="342" t="str">
        <f t="shared" ref="I55:J55" si="10">I44</f>
        <v>01401364000</v>
      </c>
      <c r="J55" s="342" t="str">
        <f t="shared" si="10"/>
        <v>г. Барнаул</v>
      </c>
      <c r="K55" s="340">
        <v>443000</v>
      </c>
      <c r="L55" s="342" t="s">
        <v>699</v>
      </c>
      <c r="M55" s="342" t="s">
        <v>728</v>
      </c>
      <c r="N55" s="342" t="str">
        <f t="shared" ref="N55:O55" si="11">N53</f>
        <v>Запрос предложений</v>
      </c>
      <c r="O55" s="340" t="str">
        <f t="shared" si="11"/>
        <v>Нет</v>
      </c>
    </row>
    <row r="56" spans="1:15" s="327" customFormat="1" ht="140.25" customHeight="1" x14ac:dyDescent="0.2">
      <c r="A56" s="337" t="s">
        <v>738</v>
      </c>
      <c r="B56" s="337" t="s">
        <v>673</v>
      </c>
      <c r="C56" s="355" t="s">
        <v>673</v>
      </c>
      <c r="D56" s="339" t="s">
        <v>732</v>
      </c>
      <c r="E56" s="339" t="str">
        <f>$E$30</f>
        <v>В соответствии с требованиями действующего законодательства РФ и условиям договора</v>
      </c>
      <c r="F56" s="338" t="s">
        <v>712</v>
      </c>
      <c r="G56" s="340" t="s">
        <v>713</v>
      </c>
      <c r="H56" s="341">
        <v>120</v>
      </c>
      <c r="I56" s="342">
        <f>I54</f>
        <v>1413000000</v>
      </c>
      <c r="J56" s="342" t="str">
        <f>J54</f>
        <v>г.Барнаул</v>
      </c>
      <c r="K56" s="337" t="s">
        <v>731</v>
      </c>
      <c r="L56" s="337" t="s">
        <v>699</v>
      </c>
      <c r="M56" s="337" t="s">
        <v>604</v>
      </c>
      <c r="N56" s="342" t="s">
        <v>571</v>
      </c>
      <c r="O56" s="337" t="s">
        <v>659</v>
      </c>
    </row>
    <row r="57" spans="1:15" s="327" customFormat="1" ht="140.25" customHeight="1" x14ac:dyDescent="0.2">
      <c r="A57" s="337" t="s">
        <v>740</v>
      </c>
      <c r="B57" s="337" t="str">
        <f t="shared" ref="B57:O57" si="12">B50</f>
        <v>42.22.2</v>
      </c>
      <c r="C57" s="355" t="str">
        <f t="shared" si="12"/>
        <v>42.22.2</v>
      </c>
      <c r="D57" s="338" t="str">
        <f t="shared" si="12"/>
        <v>Выполнение работ по строительству кабельной линии 6 кВ от ГПП-110/6 кВ № 2 ООО «Барнаул РТИ» до ТП-1002 по ул. Э. Алексеевой, 61а в г. Барнауле (1-этап)</v>
      </c>
      <c r="E57" s="338" t="str">
        <f t="shared" si="12"/>
        <v>в соответствии с требованиями действующего законодательства РФ и условиям договора</v>
      </c>
      <c r="F57" s="338" t="str">
        <f t="shared" si="12"/>
        <v>055</v>
      </c>
      <c r="G57" s="340" t="s">
        <v>713</v>
      </c>
      <c r="H57" s="341">
        <f t="shared" si="12"/>
        <v>1640</v>
      </c>
      <c r="I57" s="342" t="str">
        <f t="shared" si="12"/>
        <v>01401364000</v>
      </c>
      <c r="J57" s="342" t="str">
        <f t="shared" si="12"/>
        <v>г. Барнаул</v>
      </c>
      <c r="K57" s="340">
        <v>2413884.5</v>
      </c>
      <c r="L57" s="342" t="s">
        <v>604</v>
      </c>
      <c r="M57" s="342" t="str">
        <f t="shared" si="12"/>
        <v>09.2017</v>
      </c>
      <c r="N57" s="342" t="s">
        <v>670</v>
      </c>
      <c r="O57" s="340" t="str">
        <f t="shared" si="12"/>
        <v>Нет</v>
      </c>
    </row>
    <row r="58" spans="1:15" s="327" customFormat="1" ht="140.25" customHeight="1" x14ac:dyDescent="0.2">
      <c r="A58" s="337" t="s">
        <v>408</v>
      </c>
      <c r="B58" s="337" t="str">
        <f t="shared" ref="B58:O58" si="13">B51</f>
        <v>42.22.2</v>
      </c>
      <c r="C58" s="355" t="str">
        <f t="shared" si="13"/>
        <v>42.22.2</v>
      </c>
      <c r="D58" s="338" t="str">
        <f t="shared" si="13"/>
        <v>Выполнение работ по строительству кабельной линии 6 кВ от ГПП-110/6 кВ № 2 ООО «Барнаул РТИ» до ТП-1002 по ул. Э. Алексеевой, 61а в г. Барнауле (2-этап)</v>
      </c>
      <c r="E58" s="338" t="str">
        <f t="shared" si="13"/>
        <v>в соответствии с требованиями действующего законодательства РФ и условиям договора</v>
      </c>
      <c r="F58" s="338" t="str">
        <f t="shared" si="13"/>
        <v>018</v>
      </c>
      <c r="G58" s="340" t="str">
        <f t="shared" si="13"/>
        <v>пм</v>
      </c>
      <c r="H58" s="341">
        <f t="shared" si="13"/>
        <v>1640</v>
      </c>
      <c r="I58" s="342" t="str">
        <f t="shared" si="13"/>
        <v>01401364000</v>
      </c>
      <c r="J58" s="342" t="str">
        <f t="shared" si="13"/>
        <v>г. Барнаул</v>
      </c>
      <c r="K58" s="340">
        <v>1891476.41</v>
      </c>
      <c r="L58" s="342" t="s">
        <v>604</v>
      </c>
      <c r="M58" s="342" t="str">
        <f t="shared" si="13"/>
        <v>09.2017</v>
      </c>
      <c r="N58" s="342" t="str">
        <f t="shared" ref="N58:N60" si="14">$N$38</f>
        <v xml:space="preserve">  Закупка у единственного поставщика  </v>
      </c>
      <c r="O58" s="340" t="str">
        <f t="shared" si="13"/>
        <v>Нет</v>
      </c>
    </row>
    <row r="59" spans="1:15" s="327" customFormat="1" ht="140.25" customHeight="1" x14ac:dyDescent="0.2">
      <c r="A59" s="337" t="s">
        <v>741</v>
      </c>
      <c r="B59" s="337" t="str">
        <f t="shared" ref="B59:O61" si="15">B52</f>
        <v>42.22.2</v>
      </c>
      <c r="C59" s="355" t="str">
        <f t="shared" si="15"/>
        <v>42.22.2</v>
      </c>
      <c r="D59" s="338" t="str">
        <f t="shared" si="15"/>
        <v>Выполнение работ по строительству кабельной линии 6 кВ от ТП-1002 по ул. Э. Алексеевой, 61а до ТП-1004 ул. Гущина, 150/2 в г. Барнауле (1 этап строительства)</v>
      </c>
      <c r="E59" s="338" t="str">
        <f t="shared" si="15"/>
        <v>в соответствии с требованиями действующего законодательства РФ и условиям договора</v>
      </c>
      <c r="F59" s="338" t="str">
        <f t="shared" si="15"/>
        <v>018</v>
      </c>
      <c r="G59" s="340" t="str">
        <f t="shared" si="15"/>
        <v>пм</v>
      </c>
      <c r="H59" s="341">
        <f t="shared" si="15"/>
        <v>1840</v>
      </c>
      <c r="I59" s="342" t="str">
        <f t="shared" si="15"/>
        <v>01401364000</v>
      </c>
      <c r="J59" s="342" t="str">
        <f t="shared" si="15"/>
        <v>г. Барнаул</v>
      </c>
      <c r="K59" s="340">
        <v>2996469.91</v>
      </c>
      <c r="L59" s="342" t="s">
        <v>604</v>
      </c>
      <c r="M59" s="342" t="str">
        <f t="shared" si="15"/>
        <v>09.2017</v>
      </c>
      <c r="N59" s="342" t="str">
        <f t="shared" si="14"/>
        <v xml:space="preserve">  Закупка у единственного поставщика  </v>
      </c>
      <c r="O59" s="340" t="str">
        <f t="shared" si="15"/>
        <v>Нет</v>
      </c>
    </row>
    <row r="60" spans="1:15" s="327" customFormat="1" ht="140.25" customHeight="1" x14ac:dyDescent="0.2">
      <c r="A60" s="337" t="s">
        <v>742</v>
      </c>
      <c r="B60" s="337" t="str">
        <f t="shared" ref="B60:O61" si="16">B51</f>
        <v>42.22.2</v>
      </c>
      <c r="C60" s="355" t="str">
        <f t="shared" si="16"/>
        <v>42.22.2</v>
      </c>
      <c r="D60" s="338" t="str">
        <f t="shared" si="16"/>
        <v>Выполнение работ по строительству кабельной линии 6 кВ от ГПП-110/6 кВ № 2 ООО «Барнаул РТИ» до ТП-1002 по ул. Э. Алексеевой, 61а в г. Барнауле (2-этап)</v>
      </c>
      <c r="E60" s="338" t="str">
        <f t="shared" si="15"/>
        <v>в соответствии с требованиями действующего законодательства РФ и условиям договора</v>
      </c>
      <c r="F60" s="338" t="str">
        <f t="shared" si="16"/>
        <v>018</v>
      </c>
      <c r="G60" s="340" t="str">
        <f t="shared" si="16"/>
        <v>пм</v>
      </c>
      <c r="H60" s="341">
        <f t="shared" si="16"/>
        <v>1640</v>
      </c>
      <c r="I60" s="342" t="str">
        <f t="shared" si="16"/>
        <v>01401364000</v>
      </c>
      <c r="J60" s="342" t="str">
        <f t="shared" si="16"/>
        <v>г. Барнаул</v>
      </c>
      <c r="K60" s="340">
        <v>2983351.38</v>
      </c>
      <c r="L60" s="342" t="s">
        <v>604</v>
      </c>
      <c r="M60" s="342" t="str">
        <f t="shared" si="16"/>
        <v>09.2017</v>
      </c>
      <c r="N60" s="342" t="str">
        <f t="shared" si="14"/>
        <v xml:space="preserve">  Закупка у единственного поставщика  </v>
      </c>
      <c r="O60" s="340" t="str">
        <f t="shared" si="16"/>
        <v>Нет</v>
      </c>
    </row>
    <row r="61" spans="1:15" s="327" customFormat="1" ht="140.25" customHeight="1" x14ac:dyDescent="0.2">
      <c r="A61" s="337" t="s">
        <v>744</v>
      </c>
      <c r="B61" s="337" t="str">
        <f t="shared" si="16"/>
        <v>42.22.2</v>
      </c>
      <c r="C61" s="355" t="str">
        <f t="shared" si="16"/>
        <v>42.22.2</v>
      </c>
      <c r="D61" s="338" t="s">
        <v>745</v>
      </c>
      <c r="E61" s="338" t="str">
        <f t="shared" si="15"/>
        <v>В соответствии с требованиями действующего законодательства РФ и условиям договора</v>
      </c>
      <c r="F61" s="338" t="s">
        <v>618</v>
      </c>
      <c r="G61" s="340" t="s">
        <v>661</v>
      </c>
      <c r="H61" s="341">
        <v>480</v>
      </c>
      <c r="I61" s="342" t="str">
        <f t="shared" si="16"/>
        <v>01401364000</v>
      </c>
      <c r="J61" s="342" t="str">
        <f t="shared" si="16"/>
        <v>г. Барнаул</v>
      </c>
      <c r="K61" s="340">
        <v>926840.7</v>
      </c>
      <c r="L61" s="342" t="s">
        <v>604</v>
      </c>
      <c r="M61" s="342" t="s">
        <v>655</v>
      </c>
      <c r="N61" s="342" t="s">
        <v>571</v>
      </c>
      <c r="O61" s="337" t="s">
        <v>659</v>
      </c>
    </row>
    <row r="62" spans="1:15" s="327" customFormat="1" ht="39" customHeight="1" x14ac:dyDescent="0.2">
      <c r="A62" s="321" t="s">
        <v>747</v>
      </c>
      <c r="B62" s="336"/>
      <c r="C62" s="321"/>
      <c r="D62" s="121"/>
      <c r="E62" s="336"/>
      <c r="F62" s="321"/>
      <c r="G62" s="321"/>
      <c r="H62" s="321" t="s">
        <v>694</v>
      </c>
      <c r="I62" s="332"/>
      <c r="J62" s="321"/>
      <c r="K62" s="321"/>
      <c r="L62" s="321"/>
      <c r="M62" s="321"/>
      <c r="N62" s="321"/>
      <c r="O62" s="321"/>
    </row>
    <row r="63" spans="1:15" s="327" customFormat="1" ht="29.25" customHeight="1" thickBot="1" x14ac:dyDescent="0.25">
      <c r="A63" s="321"/>
      <c r="B63" s="321"/>
      <c r="C63" s="336"/>
      <c r="D63" s="336"/>
      <c r="E63" s="336"/>
      <c r="F63" s="329"/>
      <c r="G63" s="321"/>
      <c r="H63" s="359">
        <v>42989</v>
      </c>
      <c r="I63" s="336"/>
      <c r="J63" s="336"/>
      <c r="K63" s="321"/>
      <c r="L63" s="321"/>
      <c r="M63" s="321"/>
      <c r="N63" s="321"/>
      <c r="O63" s="321"/>
    </row>
    <row r="64" spans="1:15" s="327" customFormat="1" ht="144" customHeight="1" x14ac:dyDescent="0.2">
      <c r="A64" s="354"/>
      <c r="B64" s="321"/>
      <c r="C64" s="321"/>
      <c r="D64" s="321"/>
      <c r="E64" s="321"/>
      <c r="F64" s="321"/>
      <c r="G64" s="321"/>
      <c r="I64" s="332"/>
      <c r="J64" s="321"/>
      <c r="K64" s="321"/>
      <c r="L64" s="321"/>
      <c r="M64" s="321"/>
      <c r="N64" s="321"/>
      <c r="O64" s="321"/>
    </row>
    <row r="65" spans="1:24" s="327" customFormat="1" ht="144" customHeight="1" x14ac:dyDescent="0.2">
      <c r="A65" s="321"/>
      <c r="B65" s="322"/>
      <c r="C65" s="321"/>
      <c r="D65" s="328"/>
      <c r="F65" s="321"/>
      <c r="G65" s="321"/>
      <c r="H65" s="354"/>
      <c r="I65" s="332"/>
      <c r="J65" s="321"/>
      <c r="K65" s="321"/>
      <c r="L65" s="321"/>
      <c r="M65" s="321"/>
      <c r="N65" s="321"/>
      <c r="O65" s="321"/>
    </row>
    <row r="66" spans="1:24" s="327" customFormat="1" ht="177" customHeight="1" x14ac:dyDescent="0.2">
      <c r="A66" s="309"/>
      <c r="B66" s="309"/>
      <c r="C66" s="322"/>
      <c r="D66" s="322"/>
      <c r="E66" s="322"/>
      <c r="F66" s="322"/>
      <c r="G66" s="322"/>
      <c r="H66" s="322"/>
      <c r="I66" s="333"/>
      <c r="J66" s="322"/>
      <c r="K66" s="322"/>
      <c r="L66" s="322"/>
      <c r="M66" s="322"/>
      <c r="N66" s="322"/>
      <c r="O66" s="322"/>
    </row>
    <row r="67" spans="1:24" s="327" customFormat="1" ht="85.5" customHeight="1" x14ac:dyDescent="0.2">
      <c r="A67" s="309"/>
      <c r="B67" s="309"/>
      <c r="C67" s="309"/>
      <c r="D67" s="309"/>
      <c r="E67" s="309"/>
      <c r="F67" s="309"/>
      <c r="G67" s="309"/>
      <c r="H67" s="309"/>
      <c r="I67" s="334"/>
      <c r="J67" s="309"/>
      <c r="K67" s="309"/>
      <c r="L67" s="309"/>
      <c r="M67" s="309"/>
      <c r="N67" s="309"/>
      <c r="O67" s="309"/>
    </row>
    <row r="68" spans="1:24" s="321" customFormat="1" ht="12.75" x14ac:dyDescent="0.2">
      <c r="A68" s="309"/>
      <c r="B68" s="309"/>
      <c r="C68" s="309"/>
      <c r="D68" s="309"/>
      <c r="E68" s="309"/>
      <c r="F68" s="309"/>
      <c r="G68" s="309"/>
      <c r="H68" s="309"/>
      <c r="I68" s="334"/>
      <c r="J68" s="309"/>
      <c r="K68" s="309"/>
      <c r="L68" s="309"/>
      <c r="M68" s="309"/>
      <c r="N68" s="309"/>
      <c r="O68" s="309"/>
      <c r="P68" s="327"/>
      <c r="Q68" s="327"/>
      <c r="R68" s="327"/>
      <c r="S68" s="327"/>
      <c r="T68" s="327"/>
      <c r="U68" s="327"/>
      <c r="V68" s="327"/>
      <c r="W68" s="327"/>
      <c r="X68" s="327"/>
    </row>
    <row r="69" spans="1:24" s="321" customFormat="1" ht="12.75" x14ac:dyDescent="0.2">
      <c r="A69" s="309"/>
      <c r="B69" s="309"/>
      <c r="C69" s="309"/>
      <c r="D69" s="309"/>
      <c r="E69" s="309"/>
      <c r="F69" s="309"/>
      <c r="G69" s="309"/>
      <c r="H69" s="309"/>
      <c r="I69" s="334"/>
      <c r="J69" s="309"/>
      <c r="K69" s="309"/>
      <c r="L69" s="309"/>
      <c r="M69" s="309"/>
      <c r="N69" s="309"/>
      <c r="O69" s="309"/>
      <c r="P69" s="327"/>
      <c r="Q69" s="327"/>
    </row>
    <row r="70" spans="1:24" s="321" customFormat="1" ht="12.75" x14ac:dyDescent="0.2">
      <c r="A70" s="309"/>
      <c r="B70" s="309"/>
      <c r="C70" s="309"/>
      <c r="D70" s="309"/>
      <c r="E70" s="309"/>
      <c r="F70" s="309"/>
      <c r="G70" s="309"/>
      <c r="H70" s="309"/>
      <c r="I70" s="334"/>
      <c r="J70" s="309"/>
      <c r="K70" s="309"/>
      <c r="L70" s="309"/>
      <c r="M70" s="309"/>
      <c r="N70" s="309"/>
      <c r="O70" s="309"/>
    </row>
    <row r="71" spans="1:24" s="321" customFormat="1" ht="12.75" x14ac:dyDescent="0.2">
      <c r="A71" s="309"/>
      <c r="B71" s="309"/>
      <c r="C71" s="309"/>
      <c r="D71" s="309"/>
      <c r="E71" s="309"/>
      <c r="F71" s="309"/>
      <c r="G71" s="309"/>
      <c r="H71" s="309"/>
      <c r="I71" s="334"/>
      <c r="J71" s="309"/>
      <c r="K71" s="309"/>
      <c r="L71" s="309"/>
      <c r="M71" s="309"/>
      <c r="N71" s="309"/>
      <c r="O71" s="309"/>
    </row>
    <row r="72" spans="1:24" s="321" customFormat="1" ht="12.75" x14ac:dyDescent="0.2">
      <c r="A72" s="309"/>
      <c r="B72" s="309"/>
      <c r="C72" s="309"/>
      <c r="D72" s="309"/>
      <c r="E72" s="309"/>
      <c r="F72" s="309"/>
      <c r="G72" s="309"/>
      <c r="H72" s="309"/>
      <c r="I72" s="334"/>
      <c r="J72" s="309"/>
      <c r="K72" s="309"/>
      <c r="L72" s="309"/>
      <c r="M72" s="309"/>
      <c r="N72" s="309"/>
      <c r="O72" s="309"/>
    </row>
    <row r="73" spans="1:24" s="321" customFormat="1" ht="12.75" x14ac:dyDescent="0.2">
      <c r="A73" s="309"/>
      <c r="B73" s="309"/>
      <c r="C73" s="309"/>
      <c r="D73" s="309"/>
      <c r="E73" s="309"/>
      <c r="F73" s="309"/>
      <c r="G73" s="309"/>
      <c r="H73" s="309"/>
      <c r="I73" s="334"/>
      <c r="J73" s="309"/>
      <c r="K73" s="309"/>
      <c r="L73" s="309"/>
      <c r="M73" s="309"/>
      <c r="N73" s="309"/>
      <c r="O73" s="309"/>
    </row>
    <row r="74" spans="1:24" s="321" customFormat="1" ht="12.75" x14ac:dyDescent="0.2">
      <c r="A74" s="309"/>
      <c r="B74" s="309"/>
      <c r="C74" s="309"/>
      <c r="D74" s="309"/>
      <c r="E74" s="309"/>
      <c r="F74" s="309"/>
      <c r="G74" s="309"/>
      <c r="H74" s="309"/>
      <c r="I74" s="334"/>
      <c r="J74" s="309"/>
      <c r="K74" s="309"/>
      <c r="L74" s="309"/>
      <c r="M74" s="309"/>
      <c r="N74" s="309"/>
      <c r="O74" s="309"/>
    </row>
    <row r="75" spans="1:24" s="321" customFormat="1" ht="12.75" x14ac:dyDescent="0.2">
      <c r="A75" s="309"/>
      <c r="B75" s="309"/>
      <c r="C75" s="309"/>
      <c r="D75" s="309"/>
      <c r="E75" s="309"/>
      <c r="F75" s="309"/>
      <c r="G75" s="309"/>
      <c r="H75" s="309"/>
      <c r="I75" s="334"/>
      <c r="J75" s="309"/>
      <c r="K75" s="309"/>
      <c r="L75" s="309"/>
      <c r="M75" s="309"/>
      <c r="N75" s="309"/>
      <c r="O75" s="309"/>
    </row>
    <row r="76" spans="1:24" s="321" customFormat="1" ht="12.75" x14ac:dyDescent="0.2">
      <c r="A76" s="309"/>
      <c r="B76" s="309"/>
      <c r="C76" s="309"/>
      <c r="D76" s="309"/>
      <c r="E76" s="309"/>
      <c r="F76" s="309"/>
      <c r="G76" s="309"/>
      <c r="H76" s="309"/>
      <c r="I76" s="334"/>
      <c r="J76" s="309"/>
      <c r="K76" s="309"/>
      <c r="L76" s="309"/>
      <c r="M76" s="309"/>
      <c r="N76" s="309"/>
      <c r="O76" s="309"/>
    </row>
    <row r="77" spans="1:24" s="321" customFormat="1" ht="12.75" x14ac:dyDescent="0.2">
      <c r="A77" s="309"/>
      <c r="B77" s="309"/>
      <c r="C77" s="309"/>
      <c r="D77" s="309"/>
      <c r="E77" s="309"/>
      <c r="F77" s="309"/>
      <c r="G77" s="309"/>
      <c r="H77" s="309"/>
      <c r="I77" s="334"/>
      <c r="J77" s="309"/>
      <c r="K77" s="309"/>
      <c r="L77" s="309"/>
      <c r="M77" s="309"/>
      <c r="N77" s="309"/>
      <c r="O77" s="309"/>
    </row>
    <row r="78" spans="1:24" s="321" customFormat="1" ht="12.75" x14ac:dyDescent="0.2">
      <c r="A78" s="309"/>
      <c r="B78" s="309"/>
      <c r="C78" s="309"/>
      <c r="D78" s="309"/>
      <c r="E78" s="309"/>
      <c r="F78" s="309"/>
      <c r="G78" s="309"/>
      <c r="H78" s="309"/>
      <c r="I78" s="334"/>
      <c r="J78" s="309"/>
      <c r="K78" s="309"/>
      <c r="L78" s="309"/>
      <c r="M78" s="309"/>
      <c r="N78" s="309"/>
      <c r="O78" s="309"/>
    </row>
    <row r="79" spans="1:24" s="321" customFormat="1" ht="12.75" x14ac:dyDescent="0.2">
      <c r="A79" s="309"/>
      <c r="B79" s="309"/>
      <c r="C79" s="309"/>
      <c r="D79" s="309"/>
      <c r="E79" s="309"/>
      <c r="F79" s="309"/>
      <c r="G79" s="309"/>
      <c r="H79" s="309"/>
      <c r="I79" s="334"/>
      <c r="J79" s="309"/>
      <c r="K79" s="309"/>
      <c r="L79" s="309"/>
      <c r="M79" s="309"/>
      <c r="N79" s="309"/>
      <c r="O79" s="309"/>
    </row>
    <row r="80" spans="1:24" s="321" customFormat="1" ht="25.5" customHeight="1" x14ac:dyDescent="0.2">
      <c r="A80" s="309"/>
      <c r="B80" s="309"/>
      <c r="C80" s="309"/>
      <c r="D80" s="309"/>
      <c r="E80" s="309"/>
      <c r="F80" s="309"/>
      <c r="G80" s="309"/>
      <c r="H80" s="309"/>
      <c r="I80" s="334"/>
      <c r="J80" s="309"/>
      <c r="K80" s="309"/>
      <c r="L80" s="309"/>
      <c r="M80" s="309"/>
      <c r="N80" s="309"/>
      <c r="O80" s="309"/>
    </row>
    <row r="81" spans="1:24" s="322" customFormat="1" ht="12.75" customHeight="1" x14ac:dyDescent="0.2">
      <c r="A81" s="309"/>
      <c r="B81" s="309"/>
      <c r="C81" s="309"/>
      <c r="D81" s="309"/>
      <c r="E81" s="309"/>
      <c r="F81" s="309"/>
      <c r="G81" s="309"/>
      <c r="H81" s="309"/>
      <c r="I81" s="334"/>
      <c r="J81" s="309"/>
      <c r="K81" s="309"/>
      <c r="L81" s="309"/>
      <c r="M81" s="309"/>
      <c r="N81" s="309"/>
      <c r="O81" s="309"/>
      <c r="P81" s="321"/>
      <c r="Q81" s="321"/>
      <c r="R81" s="321"/>
      <c r="S81" s="321"/>
      <c r="T81" s="321"/>
      <c r="U81" s="321"/>
      <c r="V81" s="321"/>
      <c r="W81" s="321"/>
      <c r="X81" s="321"/>
    </row>
    <row r="82" spans="1:24" s="321" customFormat="1" ht="12.75" x14ac:dyDescent="0.2">
      <c r="A82" s="309"/>
      <c r="B82" s="309"/>
      <c r="C82" s="309"/>
      <c r="D82" s="309"/>
      <c r="E82" s="309"/>
      <c r="F82" s="309"/>
      <c r="G82" s="309"/>
      <c r="H82" s="309"/>
      <c r="I82" s="334"/>
      <c r="J82" s="309"/>
      <c r="K82" s="309"/>
      <c r="L82" s="309"/>
      <c r="M82" s="309"/>
      <c r="N82" s="309"/>
      <c r="O82" s="309"/>
      <c r="R82" s="322"/>
      <c r="S82" s="322"/>
      <c r="T82" s="322"/>
      <c r="U82" s="322"/>
      <c r="V82" s="322"/>
      <c r="W82" s="322"/>
      <c r="X82" s="322"/>
    </row>
    <row r="83" spans="1:24" s="321" customFormat="1" ht="12.75" x14ac:dyDescent="0.2">
      <c r="A83" s="309"/>
      <c r="B83" s="309"/>
      <c r="C83" s="309"/>
      <c r="D83" s="309"/>
      <c r="E83" s="309"/>
      <c r="F83" s="309"/>
      <c r="G83" s="309"/>
      <c r="H83" s="309"/>
      <c r="I83" s="334"/>
      <c r="J83" s="309"/>
      <c r="K83" s="309"/>
      <c r="L83" s="309"/>
      <c r="M83" s="309"/>
      <c r="N83" s="309"/>
      <c r="O83" s="309"/>
      <c r="P83" s="322"/>
      <c r="Q83" s="322"/>
    </row>
    <row r="84" spans="1:24" s="321" customFormat="1" ht="12.75" x14ac:dyDescent="0.2">
      <c r="A84" s="309"/>
      <c r="B84" s="309"/>
      <c r="C84" s="309"/>
      <c r="D84" s="309"/>
      <c r="E84" s="309"/>
      <c r="F84" s="309"/>
      <c r="G84" s="309"/>
      <c r="H84" s="309"/>
      <c r="I84" s="334"/>
      <c r="J84" s="309"/>
      <c r="K84" s="309"/>
      <c r="L84" s="309"/>
      <c r="M84" s="309"/>
      <c r="N84" s="309"/>
      <c r="O84" s="309"/>
    </row>
    <row r="85" spans="1:24" s="321" customFormat="1" ht="12.75" x14ac:dyDescent="0.2">
      <c r="A85" s="309"/>
      <c r="B85" s="309"/>
      <c r="C85" s="309"/>
      <c r="D85" s="309"/>
      <c r="E85" s="309"/>
      <c r="F85" s="309"/>
      <c r="G85" s="309"/>
      <c r="H85" s="309"/>
      <c r="I85" s="334"/>
      <c r="J85" s="309"/>
      <c r="K85" s="309"/>
      <c r="L85" s="309"/>
      <c r="M85" s="309"/>
      <c r="N85" s="309"/>
      <c r="O85" s="309"/>
    </row>
    <row r="86" spans="1:24" s="322" customFormat="1" ht="12.75" x14ac:dyDescent="0.2">
      <c r="A86" s="309"/>
      <c r="B86" s="309"/>
      <c r="C86" s="309"/>
      <c r="D86" s="309"/>
      <c r="E86" s="309"/>
      <c r="F86" s="309"/>
      <c r="G86" s="309"/>
      <c r="H86" s="309"/>
      <c r="I86" s="334"/>
      <c r="J86" s="309"/>
      <c r="K86" s="309"/>
      <c r="L86" s="309"/>
      <c r="M86" s="309"/>
      <c r="N86" s="309"/>
      <c r="O86" s="309"/>
      <c r="P86" s="321"/>
      <c r="Q86" s="321"/>
      <c r="R86" s="321"/>
      <c r="S86" s="321"/>
      <c r="T86" s="321"/>
      <c r="U86" s="321"/>
      <c r="V86" s="321"/>
      <c r="W86" s="321"/>
      <c r="X86" s="321"/>
    </row>
    <row r="87" spans="1:24" s="321" customFormat="1" ht="12.75" x14ac:dyDescent="0.2">
      <c r="A87" s="309"/>
      <c r="B87" s="309"/>
      <c r="C87" s="309"/>
      <c r="D87" s="309"/>
      <c r="E87" s="309"/>
      <c r="F87" s="309"/>
      <c r="G87" s="309"/>
      <c r="H87" s="309"/>
      <c r="I87" s="334"/>
      <c r="J87" s="309"/>
      <c r="K87" s="309"/>
      <c r="L87" s="309"/>
      <c r="M87" s="309"/>
      <c r="N87" s="309"/>
      <c r="O87" s="309"/>
      <c r="R87" s="322"/>
      <c r="S87" s="322"/>
      <c r="T87" s="322"/>
      <c r="U87" s="322"/>
      <c r="V87" s="322"/>
      <c r="W87" s="322"/>
      <c r="X87" s="322"/>
    </row>
    <row r="88" spans="1:24" s="321" customFormat="1" ht="12.75" x14ac:dyDescent="0.2">
      <c r="A88" s="309"/>
      <c r="B88" s="309"/>
      <c r="C88" s="309"/>
      <c r="D88" s="309"/>
      <c r="E88" s="309"/>
      <c r="F88" s="309"/>
      <c r="G88" s="309"/>
      <c r="H88" s="309"/>
      <c r="I88" s="334"/>
      <c r="J88" s="309"/>
      <c r="K88" s="309"/>
      <c r="L88" s="309"/>
      <c r="M88" s="309"/>
      <c r="N88" s="309"/>
      <c r="O88" s="309"/>
      <c r="P88" s="322"/>
      <c r="Q88" s="322"/>
    </row>
    <row r="89" spans="1:24" s="322" customFormat="1" ht="12.75" x14ac:dyDescent="0.2">
      <c r="A89" s="309"/>
      <c r="B89" s="309"/>
      <c r="C89" s="309"/>
      <c r="D89" s="309"/>
      <c r="E89" s="309"/>
      <c r="F89" s="309"/>
      <c r="G89" s="309"/>
      <c r="H89" s="309"/>
      <c r="I89" s="334"/>
      <c r="J89" s="309"/>
      <c r="K89" s="309"/>
      <c r="L89" s="309"/>
      <c r="M89" s="309"/>
      <c r="N89" s="309"/>
      <c r="O89" s="309"/>
      <c r="P89" s="321"/>
      <c r="Q89" s="321"/>
      <c r="R89" s="321"/>
      <c r="S89" s="321"/>
      <c r="T89" s="321"/>
      <c r="U89" s="321"/>
      <c r="V89" s="321"/>
      <c r="W89" s="321"/>
      <c r="X89" s="321"/>
    </row>
    <row r="90" spans="1:24" s="321" customFormat="1" ht="12.75" x14ac:dyDescent="0.2">
      <c r="A90" s="309"/>
      <c r="B90" s="309"/>
      <c r="C90" s="309"/>
      <c r="D90" s="309"/>
      <c r="E90" s="309"/>
      <c r="F90" s="309"/>
      <c r="G90" s="309"/>
      <c r="H90" s="309"/>
      <c r="I90" s="334"/>
      <c r="J90" s="309"/>
      <c r="K90" s="309"/>
      <c r="L90" s="309"/>
      <c r="M90" s="309"/>
      <c r="N90" s="309"/>
      <c r="O90" s="309"/>
      <c r="R90" s="322"/>
      <c r="S90" s="322"/>
      <c r="T90" s="322"/>
      <c r="U90" s="322"/>
      <c r="V90" s="322"/>
      <c r="W90" s="322"/>
      <c r="X90" s="322"/>
    </row>
    <row r="91" spans="1:24" s="321" customFormat="1" ht="12.75" x14ac:dyDescent="0.2">
      <c r="A91" s="309"/>
      <c r="B91" s="309"/>
      <c r="C91" s="309"/>
      <c r="D91" s="309"/>
      <c r="E91" s="309"/>
      <c r="F91" s="309"/>
      <c r="G91" s="309"/>
      <c r="H91" s="309"/>
      <c r="I91" s="334"/>
      <c r="J91" s="309"/>
      <c r="K91" s="309"/>
      <c r="L91" s="309"/>
      <c r="M91" s="309"/>
      <c r="N91" s="309"/>
      <c r="O91" s="309"/>
      <c r="P91" s="322"/>
      <c r="Q91" s="322"/>
    </row>
    <row r="92" spans="1:24" s="321" customFormat="1" ht="12.75" x14ac:dyDescent="0.2">
      <c r="A92" s="309"/>
      <c r="B92" s="309"/>
      <c r="C92" s="309"/>
      <c r="D92" s="309"/>
      <c r="E92" s="309"/>
      <c r="F92" s="309"/>
      <c r="G92" s="309"/>
      <c r="H92" s="309"/>
      <c r="I92" s="334"/>
      <c r="J92" s="309"/>
      <c r="K92" s="309"/>
      <c r="L92" s="309"/>
      <c r="M92" s="309"/>
      <c r="N92" s="309"/>
      <c r="O92" s="309"/>
    </row>
    <row r="93" spans="1:24" s="321" customFormat="1" ht="12.75" x14ac:dyDescent="0.2">
      <c r="A93" s="309"/>
      <c r="B93" s="309"/>
      <c r="C93" s="309"/>
      <c r="D93" s="309"/>
      <c r="E93" s="309"/>
      <c r="F93" s="309"/>
      <c r="G93" s="309"/>
      <c r="H93" s="309"/>
      <c r="I93" s="334"/>
      <c r="J93" s="309"/>
      <c r="K93" s="309"/>
      <c r="L93" s="309"/>
      <c r="M93" s="309"/>
      <c r="N93" s="309"/>
      <c r="O93" s="309"/>
    </row>
    <row r="94" spans="1:24" s="321" customFormat="1" ht="12.75" x14ac:dyDescent="0.2">
      <c r="A94" s="309"/>
      <c r="B94" s="309"/>
      <c r="C94" s="309"/>
      <c r="D94" s="309"/>
      <c r="E94" s="309"/>
      <c r="F94" s="309"/>
      <c r="G94" s="309"/>
      <c r="H94" s="309"/>
      <c r="I94" s="334"/>
      <c r="J94" s="309"/>
      <c r="K94" s="309"/>
      <c r="L94" s="309"/>
      <c r="M94" s="309"/>
      <c r="N94" s="309"/>
      <c r="O94" s="309"/>
    </row>
    <row r="95" spans="1:24" s="321" customFormat="1" ht="12.75" x14ac:dyDescent="0.2">
      <c r="A95" s="309"/>
      <c r="B95" s="309"/>
      <c r="C95" s="309"/>
      <c r="D95" s="309"/>
      <c r="E95" s="309"/>
      <c r="F95" s="309"/>
      <c r="G95" s="309"/>
      <c r="H95" s="309"/>
      <c r="I95" s="334"/>
      <c r="J95" s="309"/>
      <c r="K95" s="309"/>
      <c r="L95" s="309"/>
      <c r="M95" s="309"/>
      <c r="N95" s="309"/>
      <c r="O95" s="309"/>
    </row>
    <row r="96" spans="1:24" s="323" customFormat="1" ht="12.75" x14ac:dyDescent="0.2">
      <c r="A96" s="309"/>
      <c r="B96" s="309"/>
      <c r="C96" s="309"/>
      <c r="D96" s="309"/>
      <c r="E96" s="309"/>
      <c r="F96" s="309"/>
      <c r="G96" s="309"/>
      <c r="H96" s="309"/>
      <c r="I96" s="334"/>
      <c r="J96" s="309"/>
      <c r="K96" s="309"/>
      <c r="L96" s="309"/>
      <c r="M96" s="309"/>
      <c r="N96" s="309"/>
      <c r="O96" s="309"/>
      <c r="P96" s="321"/>
      <c r="Q96" s="321"/>
      <c r="R96" s="321"/>
      <c r="S96" s="321"/>
      <c r="T96" s="321"/>
      <c r="U96" s="321"/>
      <c r="V96" s="321"/>
      <c r="W96" s="321"/>
      <c r="X96" s="321"/>
    </row>
    <row r="97" spans="1:24" s="322" customFormat="1" ht="12.75" x14ac:dyDescent="0.2">
      <c r="A97" s="309"/>
      <c r="B97" s="309"/>
      <c r="C97" s="309"/>
      <c r="D97" s="309"/>
      <c r="E97" s="309"/>
      <c r="F97" s="309"/>
      <c r="G97" s="309"/>
      <c r="H97" s="309"/>
      <c r="I97" s="334"/>
      <c r="J97" s="309"/>
      <c r="K97" s="309"/>
      <c r="L97" s="309"/>
      <c r="M97" s="309"/>
      <c r="N97" s="309"/>
      <c r="O97" s="309"/>
      <c r="P97" s="321"/>
      <c r="Q97" s="321"/>
      <c r="R97" s="323"/>
      <c r="S97" s="323"/>
      <c r="T97" s="323"/>
      <c r="U97" s="323"/>
      <c r="V97" s="323"/>
      <c r="W97" s="323"/>
      <c r="X97" s="323"/>
    </row>
    <row r="98" spans="1:24" s="321" customFormat="1" ht="12.75" x14ac:dyDescent="0.2">
      <c r="A98" s="309"/>
      <c r="B98" s="309"/>
      <c r="C98" s="309"/>
      <c r="D98" s="309"/>
      <c r="E98" s="309"/>
      <c r="F98" s="309"/>
      <c r="G98" s="309"/>
      <c r="H98" s="309"/>
      <c r="I98" s="334"/>
      <c r="J98" s="309"/>
      <c r="K98" s="309"/>
      <c r="L98" s="309"/>
      <c r="M98" s="309"/>
      <c r="N98" s="309"/>
      <c r="O98" s="309"/>
      <c r="P98" s="323"/>
      <c r="Q98" s="323"/>
      <c r="R98" s="322"/>
      <c r="S98" s="322"/>
      <c r="T98" s="322"/>
      <c r="U98" s="322"/>
      <c r="V98" s="322"/>
      <c r="W98" s="322"/>
      <c r="X98" s="322"/>
    </row>
    <row r="99" spans="1:24" s="321" customFormat="1" ht="12.75" x14ac:dyDescent="0.2">
      <c r="A99" s="309"/>
      <c r="B99" s="309"/>
      <c r="C99" s="309"/>
      <c r="D99" s="309"/>
      <c r="E99" s="309"/>
      <c r="F99" s="309"/>
      <c r="G99" s="309"/>
      <c r="H99" s="309"/>
      <c r="I99" s="334"/>
      <c r="J99" s="309"/>
      <c r="K99" s="309"/>
      <c r="L99" s="309"/>
      <c r="M99" s="309"/>
      <c r="N99" s="309"/>
      <c r="O99" s="309"/>
      <c r="P99" s="322"/>
      <c r="Q99" s="322"/>
    </row>
    <row r="100" spans="1:24" s="321" customFormat="1" ht="12.75" x14ac:dyDescent="0.2">
      <c r="A100" s="309"/>
      <c r="B100" s="309"/>
      <c r="C100" s="309"/>
      <c r="D100" s="309"/>
      <c r="E100" s="309"/>
      <c r="F100" s="309"/>
      <c r="G100" s="309"/>
      <c r="H100" s="309"/>
      <c r="I100" s="334"/>
      <c r="J100" s="309"/>
      <c r="K100" s="309"/>
      <c r="L100" s="309"/>
      <c r="M100" s="309"/>
      <c r="N100" s="309"/>
      <c r="O100" s="309"/>
    </row>
    <row r="101" spans="1:24" s="321" customFormat="1" ht="12.75" x14ac:dyDescent="0.2">
      <c r="A101" s="309"/>
      <c r="B101" s="309"/>
      <c r="C101" s="309"/>
      <c r="D101" s="309"/>
      <c r="E101" s="309"/>
      <c r="F101" s="309"/>
      <c r="G101" s="309"/>
      <c r="H101" s="309"/>
      <c r="I101" s="334"/>
      <c r="J101" s="309"/>
      <c r="K101" s="309"/>
      <c r="L101" s="309"/>
      <c r="M101" s="309"/>
      <c r="N101" s="309"/>
      <c r="O101" s="309"/>
    </row>
    <row r="102" spans="1:24" s="321" customFormat="1" ht="12.75" x14ac:dyDescent="0.2">
      <c r="A102" s="309"/>
      <c r="B102" s="309"/>
      <c r="C102" s="309"/>
      <c r="D102" s="309"/>
      <c r="E102" s="309"/>
      <c r="F102" s="309"/>
      <c r="G102" s="309"/>
      <c r="H102" s="309"/>
      <c r="I102" s="334"/>
      <c r="J102" s="309"/>
      <c r="K102" s="309"/>
      <c r="L102" s="309"/>
      <c r="M102" s="309"/>
      <c r="N102" s="309"/>
      <c r="O102" s="309"/>
    </row>
    <row r="103" spans="1:24" s="321" customFormat="1" ht="12.75" x14ac:dyDescent="0.2">
      <c r="A103" s="309"/>
      <c r="B103" s="309"/>
      <c r="C103" s="309"/>
      <c r="D103" s="309"/>
      <c r="E103" s="309"/>
      <c r="F103" s="309"/>
      <c r="G103" s="309"/>
      <c r="H103" s="309"/>
      <c r="I103" s="334"/>
      <c r="J103" s="309"/>
      <c r="K103" s="309"/>
      <c r="L103" s="309"/>
      <c r="M103" s="309"/>
      <c r="N103" s="309"/>
      <c r="O103" s="309"/>
    </row>
    <row r="104" spans="1:24" s="322" customFormat="1" ht="12.75" x14ac:dyDescent="0.2">
      <c r="A104" s="309"/>
      <c r="B104" s="309"/>
      <c r="C104" s="309"/>
      <c r="D104" s="309"/>
      <c r="E104" s="309"/>
      <c r="F104" s="309"/>
      <c r="G104" s="309"/>
      <c r="H104" s="309"/>
      <c r="I104" s="334"/>
      <c r="J104" s="309"/>
      <c r="K104" s="309"/>
      <c r="L104" s="309"/>
      <c r="M104" s="309"/>
      <c r="N104" s="309"/>
      <c r="O104" s="309"/>
      <c r="P104" s="321"/>
      <c r="Q104" s="321"/>
      <c r="R104" s="321"/>
      <c r="S104" s="321"/>
      <c r="T104" s="321"/>
      <c r="U104" s="321"/>
      <c r="V104" s="321"/>
      <c r="W104" s="321"/>
      <c r="X104" s="321"/>
    </row>
    <row r="105" spans="1:24" s="321" customFormat="1" ht="12.75" x14ac:dyDescent="0.2">
      <c r="A105" s="309"/>
      <c r="B105" s="309"/>
      <c r="C105" s="309"/>
      <c r="D105" s="309"/>
      <c r="E105" s="309"/>
      <c r="F105" s="309"/>
      <c r="G105" s="309"/>
      <c r="H105" s="309"/>
      <c r="I105" s="334"/>
      <c r="J105" s="309"/>
      <c r="K105" s="309"/>
      <c r="L105" s="309"/>
      <c r="M105" s="309"/>
      <c r="N105" s="309"/>
      <c r="O105" s="309"/>
      <c r="R105" s="322"/>
      <c r="S105" s="322"/>
      <c r="T105" s="322"/>
      <c r="U105" s="322"/>
      <c r="V105" s="322"/>
      <c r="W105" s="322"/>
      <c r="X105" s="322"/>
    </row>
    <row r="106" spans="1:24" s="321" customFormat="1" ht="12.75" x14ac:dyDescent="0.2">
      <c r="A106" s="309"/>
      <c r="B106" s="309"/>
      <c r="C106" s="309"/>
      <c r="D106" s="309"/>
      <c r="E106" s="309"/>
      <c r="F106" s="309"/>
      <c r="G106" s="309"/>
      <c r="H106" s="309"/>
      <c r="I106" s="334"/>
      <c r="J106" s="309"/>
      <c r="K106" s="309"/>
      <c r="L106" s="309"/>
      <c r="M106" s="309"/>
      <c r="N106" s="309"/>
      <c r="O106" s="309"/>
      <c r="P106" s="322"/>
      <c r="Q106" s="322"/>
    </row>
    <row r="107" spans="1:24" s="322" customFormat="1" ht="12.75" x14ac:dyDescent="0.2">
      <c r="A107" s="309"/>
      <c r="B107" s="309"/>
      <c r="C107" s="309"/>
      <c r="D107" s="309"/>
      <c r="E107" s="309"/>
      <c r="F107" s="309"/>
      <c r="G107" s="309"/>
      <c r="H107" s="309"/>
      <c r="I107" s="334"/>
      <c r="J107" s="309"/>
      <c r="K107" s="309"/>
      <c r="L107" s="309"/>
      <c r="M107" s="309"/>
      <c r="N107" s="309"/>
      <c r="O107" s="309"/>
      <c r="P107" s="321"/>
      <c r="Q107" s="321"/>
      <c r="R107" s="321"/>
      <c r="S107" s="321"/>
      <c r="T107" s="321"/>
      <c r="U107" s="321"/>
      <c r="V107" s="321"/>
      <c r="W107" s="321"/>
      <c r="X107" s="321"/>
    </row>
    <row r="108" spans="1:24" s="322" customFormat="1" ht="12.75" x14ac:dyDescent="0.2">
      <c r="A108" s="309"/>
      <c r="B108" s="309"/>
      <c r="C108" s="309"/>
      <c r="D108" s="309"/>
      <c r="E108" s="309"/>
      <c r="F108" s="309"/>
      <c r="G108" s="309"/>
      <c r="H108" s="309"/>
      <c r="I108" s="334"/>
      <c r="J108" s="309"/>
      <c r="K108" s="309"/>
      <c r="L108" s="309"/>
      <c r="M108" s="309"/>
      <c r="N108" s="309"/>
      <c r="O108" s="309"/>
      <c r="P108" s="321"/>
      <c r="Q108" s="321"/>
    </row>
    <row r="109" spans="1:24" s="321" customFormat="1" ht="12.75" x14ac:dyDescent="0.2">
      <c r="A109" s="309"/>
      <c r="B109" s="309"/>
      <c r="C109" s="309"/>
      <c r="D109" s="309"/>
      <c r="E109" s="309"/>
      <c r="F109" s="309"/>
      <c r="G109" s="309"/>
      <c r="H109" s="309"/>
      <c r="I109" s="334"/>
      <c r="J109" s="309"/>
      <c r="K109" s="309"/>
      <c r="L109" s="309"/>
      <c r="M109" s="309"/>
      <c r="N109" s="309"/>
      <c r="O109" s="309"/>
      <c r="P109" s="322"/>
      <c r="Q109" s="322"/>
      <c r="R109" s="322"/>
      <c r="S109" s="322"/>
      <c r="T109" s="322"/>
      <c r="U109" s="322"/>
      <c r="V109" s="322"/>
      <c r="W109" s="322"/>
      <c r="X109" s="322"/>
    </row>
    <row r="110" spans="1:24" s="321" customFormat="1" ht="35.25" customHeight="1" x14ac:dyDescent="0.2">
      <c r="A110" s="309"/>
      <c r="B110" s="309"/>
      <c r="C110" s="309"/>
      <c r="D110" s="309"/>
      <c r="E110" s="309"/>
      <c r="F110" s="309"/>
      <c r="G110" s="309"/>
      <c r="H110" s="309"/>
      <c r="I110" s="334"/>
      <c r="J110" s="309"/>
      <c r="K110" s="309"/>
      <c r="L110" s="309"/>
      <c r="M110" s="309"/>
      <c r="N110" s="309"/>
      <c r="O110" s="309"/>
      <c r="P110" s="322"/>
      <c r="Q110" s="322"/>
    </row>
    <row r="111" spans="1:24" s="321" customFormat="1" ht="12.75" x14ac:dyDescent="0.2">
      <c r="A111" s="309"/>
      <c r="B111" s="309"/>
      <c r="C111" s="309"/>
      <c r="D111" s="309"/>
      <c r="E111" s="309"/>
      <c r="F111" s="309"/>
      <c r="G111" s="309"/>
      <c r="H111" s="309"/>
      <c r="I111" s="334"/>
      <c r="J111" s="309"/>
      <c r="K111" s="309"/>
      <c r="L111" s="309"/>
      <c r="M111" s="309"/>
      <c r="N111" s="309"/>
      <c r="O111" s="309"/>
    </row>
    <row r="112" spans="1:24" s="321" customFormat="1" ht="12.75" x14ac:dyDescent="0.2">
      <c r="A112" s="309"/>
      <c r="B112" s="309"/>
      <c r="C112" s="309"/>
      <c r="D112" s="309"/>
      <c r="E112" s="309"/>
      <c r="F112" s="309"/>
      <c r="G112" s="309"/>
      <c r="H112" s="309"/>
      <c r="I112" s="334"/>
      <c r="J112" s="309"/>
      <c r="K112" s="309"/>
      <c r="L112" s="309"/>
      <c r="M112" s="309"/>
      <c r="N112" s="309"/>
      <c r="O112" s="309"/>
    </row>
    <row r="113" spans="1:24" s="321" customFormat="1" ht="12.75" x14ac:dyDescent="0.2">
      <c r="A113" s="309"/>
      <c r="B113" s="309"/>
      <c r="C113" s="309"/>
      <c r="D113" s="309"/>
      <c r="E113" s="309"/>
      <c r="F113" s="309"/>
      <c r="G113" s="309"/>
      <c r="H113" s="309"/>
      <c r="I113" s="334"/>
      <c r="J113" s="309"/>
      <c r="K113" s="309"/>
      <c r="L113" s="309"/>
      <c r="M113" s="309"/>
      <c r="N113" s="309"/>
      <c r="O113" s="309"/>
    </row>
    <row r="114" spans="1:24" s="321" customFormat="1" ht="12.75" x14ac:dyDescent="0.2">
      <c r="A114" s="309"/>
      <c r="B114" s="309"/>
      <c r="C114" s="309"/>
      <c r="D114" s="309"/>
      <c r="E114" s="309"/>
      <c r="F114" s="309"/>
      <c r="G114" s="309"/>
      <c r="H114" s="309"/>
      <c r="I114" s="334"/>
      <c r="J114" s="309"/>
      <c r="K114" s="309"/>
      <c r="L114" s="309"/>
      <c r="M114" s="309"/>
      <c r="N114" s="309"/>
      <c r="O114" s="309"/>
    </row>
    <row r="115" spans="1:24" s="321" customFormat="1" ht="30.75" customHeight="1" x14ac:dyDescent="0.2">
      <c r="A115" s="309"/>
      <c r="B115" s="309"/>
      <c r="C115" s="309"/>
      <c r="D115" s="309"/>
      <c r="E115" s="309"/>
      <c r="F115" s="309"/>
      <c r="G115" s="309"/>
      <c r="H115" s="309"/>
      <c r="I115" s="334"/>
      <c r="J115" s="309"/>
      <c r="K115" s="309"/>
      <c r="L115" s="309"/>
      <c r="M115" s="309"/>
      <c r="N115" s="309"/>
      <c r="O115" s="309"/>
    </row>
    <row r="116" spans="1:24" s="322" customFormat="1" ht="12.75" x14ac:dyDescent="0.2">
      <c r="A116" s="309"/>
      <c r="B116" s="309"/>
      <c r="C116" s="309"/>
      <c r="D116" s="309"/>
      <c r="E116" s="309"/>
      <c r="F116" s="309"/>
      <c r="G116" s="309"/>
      <c r="H116" s="309"/>
      <c r="I116" s="334"/>
      <c r="J116" s="309"/>
      <c r="K116" s="309"/>
      <c r="L116" s="309"/>
      <c r="M116" s="309"/>
      <c r="N116" s="309"/>
      <c r="O116" s="309"/>
      <c r="P116" s="321"/>
      <c r="Q116" s="321"/>
      <c r="R116" s="321"/>
      <c r="S116" s="321"/>
      <c r="T116" s="321"/>
      <c r="U116" s="321"/>
      <c r="V116" s="321"/>
      <c r="W116" s="321"/>
      <c r="X116" s="321"/>
    </row>
    <row r="117" spans="1:24" s="322" customFormat="1" ht="12.75" x14ac:dyDescent="0.2">
      <c r="A117" s="309"/>
      <c r="B117" s="309"/>
      <c r="C117" s="309"/>
      <c r="D117" s="309"/>
      <c r="E117" s="309"/>
      <c r="F117" s="309"/>
      <c r="G117" s="309"/>
      <c r="H117" s="309"/>
      <c r="I117" s="334"/>
      <c r="J117" s="309"/>
      <c r="K117" s="309"/>
      <c r="L117" s="309"/>
      <c r="M117" s="309"/>
      <c r="N117" s="309"/>
      <c r="O117" s="309"/>
      <c r="P117" s="321"/>
      <c r="Q117" s="321"/>
    </row>
    <row r="118" spans="1:24" s="322" customFormat="1" ht="12.75" x14ac:dyDescent="0.2">
      <c r="A118" s="309"/>
      <c r="B118" s="309"/>
      <c r="C118" s="309"/>
      <c r="D118" s="309"/>
      <c r="E118" s="309"/>
      <c r="F118" s="309"/>
      <c r="G118" s="309"/>
      <c r="H118" s="309"/>
      <c r="I118" s="334"/>
      <c r="J118" s="309"/>
      <c r="K118" s="309"/>
      <c r="L118" s="309"/>
      <c r="M118" s="309"/>
      <c r="N118" s="309"/>
      <c r="O118" s="309"/>
    </row>
    <row r="119" spans="1:24" s="322" customFormat="1" ht="87.75" customHeight="1" x14ac:dyDescent="0.2">
      <c r="A119" s="309"/>
      <c r="B119" s="309"/>
      <c r="C119" s="309"/>
      <c r="D119" s="309"/>
      <c r="E119" s="309"/>
      <c r="F119" s="309"/>
      <c r="G119" s="309"/>
      <c r="H119" s="309"/>
      <c r="I119" s="334"/>
      <c r="J119" s="309"/>
      <c r="K119" s="309"/>
      <c r="L119" s="309"/>
      <c r="M119" s="309"/>
      <c r="N119" s="309"/>
      <c r="O119" s="309"/>
    </row>
    <row r="120" spans="1:24" s="322" customFormat="1" ht="12.75" x14ac:dyDescent="0.2">
      <c r="A120" s="309"/>
      <c r="B120" s="309"/>
      <c r="C120" s="309"/>
      <c r="D120" s="309"/>
      <c r="E120" s="309"/>
      <c r="F120" s="309"/>
      <c r="G120" s="309"/>
      <c r="H120" s="309"/>
      <c r="I120" s="334"/>
      <c r="J120" s="309"/>
      <c r="K120" s="309"/>
      <c r="L120" s="309"/>
      <c r="M120" s="309"/>
      <c r="N120" s="309"/>
      <c r="O120" s="309"/>
    </row>
    <row r="121" spans="1:24" s="321" customFormat="1" ht="12.75" x14ac:dyDescent="0.2">
      <c r="A121" s="309"/>
      <c r="B121" s="309"/>
      <c r="C121" s="309"/>
      <c r="D121" s="309"/>
      <c r="E121" s="309"/>
      <c r="F121" s="309"/>
      <c r="G121" s="309"/>
      <c r="H121" s="309"/>
      <c r="I121" s="334"/>
      <c r="J121" s="309"/>
      <c r="K121" s="309"/>
      <c r="L121" s="309"/>
      <c r="M121" s="309"/>
      <c r="N121" s="309"/>
      <c r="O121" s="309"/>
      <c r="P121" s="322"/>
      <c r="Q121" s="322"/>
      <c r="R121" s="322"/>
      <c r="S121" s="322"/>
      <c r="T121" s="322"/>
      <c r="U121" s="322"/>
      <c r="V121" s="322"/>
      <c r="W121" s="322"/>
      <c r="X121" s="322"/>
    </row>
    <row r="122" spans="1:24" s="321" customFormat="1" ht="37.5" customHeight="1" x14ac:dyDescent="0.2">
      <c r="A122" s="309"/>
      <c r="B122" s="309"/>
      <c r="C122" s="309"/>
      <c r="D122" s="309"/>
      <c r="E122" s="309"/>
      <c r="F122" s="309"/>
      <c r="G122" s="309"/>
      <c r="H122" s="309"/>
      <c r="I122" s="334"/>
      <c r="J122" s="309"/>
      <c r="K122" s="309"/>
      <c r="L122" s="309"/>
      <c r="M122" s="309"/>
      <c r="N122" s="309"/>
      <c r="O122" s="309"/>
      <c r="P122" s="322"/>
      <c r="Q122" s="322"/>
    </row>
    <row r="123" spans="1:24" s="322" customFormat="1" ht="12.75" x14ac:dyDescent="0.2">
      <c r="A123" s="309"/>
      <c r="B123" s="309"/>
      <c r="C123" s="309"/>
      <c r="D123" s="309"/>
      <c r="E123" s="309"/>
      <c r="F123" s="309"/>
      <c r="G123" s="309"/>
      <c r="H123" s="309"/>
      <c r="I123" s="334"/>
      <c r="J123" s="309"/>
      <c r="K123" s="309"/>
      <c r="L123" s="309"/>
      <c r="M123" s="309"/>
      <c r="N123" s="309"/>
      <c r="O123" s="309"/>
      <c r="P123" s="321"/>
      <c r="Q123" s="321"/>
      <c r="R123" s="321"/>
      <c r="S123" s="321"/>
      <c r="T123" s="321"/>
      <c r="U123" s="321"/>
      <c r="V123" s="321"/>
      <c r="W123" s="321"/>
      <c r="X123" s="321"/>
    </row>
    <row r="124" spans="1:24" s="323" customFormat="1" ht="12.75" x14ac:dyDescent="0.2">
      <c r="A124" s="309"/>
      <c r="B124" s="309"/>
      <c r="C124" s="309"/>
      <c r="D124" s="309"/>
      <c r="E124" s="309"/>
      <c r="F124" s="309"/>
      <c r="G124" s="309"/>
      <c r="H124" s="309"/>
      <c r="I124" s="334"/>
      <c r="J124" s="309"/>
      <c r="K124" s="309"/>
      <c r="L124" s="309"/>
      <c r="M124" s="309"/>
      <c r="N124" s="309"/>
      <c r="O124" s="309"/>
      <c r="P124" s="321"/>
      <c r="Q124" s="321"/>
      <c r="R124" s="322"/>
      <c r="S124" s="322"/>
      <c r="T124" s="322"/>
      <c r="U124" s="322"/>
      <c r="V124" s="322"/>
      <c r="W124" s="322"/>
      <c r="X124" s="322"/>
    </row>
    <row r="125" spans="1:24" s="322" customFormat="1" ht="12.75" x14ac:dyDescent="0.2">
      <c r="A125" s="309"/>
      <c r="B125" s="309"/>
      <c r="C125" s="309"/>
      <c r="D125" s="309"/>
      <c r="E125" s="309"/>
      <c r="F125" s="309"/>
      <c r="G125" s="309"/>
      <c r="H125" s="309"/>
      <c r="I125" s="334"/>
      <c r="J125" s="309"/>
      <c r="K125" s="309"/>
      <c r="L125" s="309"/>
      <c r="M125" s="309"/>
      <c r="N125" s="309"/>
      <c r="O125" s="309"/>
      <c r="R125" s="323"/>
      <c r="S125" s="323"/>
      <c r="T125" s="323"/>
      <c r="U125" s="323"/>
      <c r="V125" s="323"/>
      <c r="W125" s="323"/>
      <c r="X125" s="323"/>
    </row>
    <row r="126" spans="1:24" s="322" customFormat="1" ht="12.75" x14ac:dyDescent="0.2">
      <c r="A126" s="309"/>
      <c r="B126" s="309"/>
      <c r="C126" s="309"/>
      <c r="D126" s="309"/>
      <c r="E126" s="309"/>
      <c r="F126" s="309"/>
      <c r="G126" s="309"/>
      <c r="H126" s="309"/>
      <c r="I126" s="334"/>
      <c r="J126" s="309"/>
      <c r="K126" s="309"/>
      <c r="L126" s="309"/>
      <c r="M126" s="309"/>
      <c r="N126" s="309"/>
      <c r="O126" s="309"/>
      <c r="P126" s="323"/>
      <c r="Q126" s="323"/>
    </row>
    <row r="127" spans="1:24" s="322" customFormat="1" ht="12.75" x14ac:dyDescent="0.2">
      <c r="A127" s="309"/>
      <c r="B127" s="309"/>
      <c r="C127" s="309"/>
      <c r="D127" s="309"/>
      <c r="E127" s="309"/>
      <c r="F127" s="309"/>
      <c r="G127" s="309"/>
      <c r="H127" s="309"/>
      <c r="I127" s="334"/>
      <c r="J127" s="309"/>
      <c r="K127" s="309"/>
      <c r="L127" s="309"/>
      <c r="M127" s="309"/>
      <c r="N127" s="309"/>
      <c r="O127" s="309"/>
    </row>
    <row r="128" spans="1:24" ht="12.75" x14ac:dyDescent="0.2">
      <c r="A128" s="309"/>
      <c r="B128" s="309"/>
      <c r="C128" s="309"/>
      <c r="E128" s="309"/>
      <c r="F128" s="309"/>
      <c r="H128" s="309"/>
      <c r="I128" s="334"/>
      <c r="P128" s="322"/>
      <c r="Q128" s="322"/>
      <c r="R128" s="322"/>
      <c r="S128" s="322"/>
      <c r="T128" s="322"/>
      <c r="U128" s="322"/>
      <c r="V128" s="322"/>
      <c r="W128" s="322"/>
      <c r="X128" s="322"/>
    </row>
    <row r="129" spans="1:17" ht="12.75" x14ac:dyDescent="0.2">
      <c r="A129" s="309"/>
      <c r="B129" s="309"/>
      <c r="C129" s="309"/>
      <c r="E129" s="309"/>
      <c r="F129" s="309"/>
      <c r="H129" s="309"/>
      <c r="I129" s="334"/>
      <c r="P129" s="322"/>
      <c r="Q129" s="322"/>
    </row>
    <row r="130" spans="1:17" ht="12.75" x14ac:dyDescent="0.2">
      <c r="A130" s="309"/>
      <c r="B130" s="309"/>
      <c r="C130" s="309"/>
      <c r="E130" s="309"/>
      <c r="F130" s="309"/>
      <c r="H130" s="309"/>
      <c r="I130" s="334"/>
    </row>
    <row r="131" spans="1:17" ht="12.75" x14ac:dyDescent="0.2">
      <c r="A131" s="309"/>
      <c r="B131" s="309"/>
      <c r="C131" s="309"/>
      <c r="E131" s="309"/>
      <c r="F131" s="309"/>
      <c r="H131" s="309"/>
      <c r="I131" s="334"/>
    </row>
    <row r="132" spans="1:17" ht="12.75" x14ac:dyDescent="0.2">
      <c r="A132" s="309"/>
      <c r="B132" s="309"/>
      <c r="C132" s="309"/>
      <c r="E132" s="309"/>
      <c r="F132" s="309"/>
      <c r="H132" s="309"/>
      <c r="I132" s="334"/>
    </row>
    <row r="133" spans="1:17" ht="12.75" x14ac:dyDescent="0.2">
      <c r="A133" s="309"/>
      <c r="B133" s="309"/>
      <c r="C133" s="309"/>
      <c r="E133" s="309"/>
      <c r="F133" s="309"/>
      <c r="H133" s="309"/>
      <c r="I133" s="334"/>
    </row>
    <row r="134" spans="1:17" ht="12.75" x14ac:dyDescent="0.2">
      <c r="A134" s="309"/>
      <c r="B134" s="309"/>
      <c r="C134" s="309"/>
      <c r="E134" s="309"/>
      <c r="F134" s="309"/>
      <c r="H134" s="309"/>
      <c r="I134" s="334"/>
    </row>
    <row r="135" spans="1:17" ht="12.75" x14ac:dyDescent="0.2">
      <c r="A135" s="309"/>
      <c r="B135" s="309"/>
      <c r="C135" s="309"/>
      <c r="E135" s="309"/>
      <c r="F135" s="309"/>
      <c r="H135" s="309"/>
      <c r="I135" s="334"/>
    </row>
    <row r="136" spans="1:17" ht="12.75" x14ac:dyDescent="0.2">
      <c r="A136" s="309"/>
      <c r="B136" s="309"/>
      <c r="C136" s="309"/>
      <c r="E136" s="309"/>
      <c r="F136" s="309"/>
      <c r="H136" s="309"/>
      <c r="I136" s="334"/>
    </row>
    <row r="137" spans="1:17" ht="12.75" x14ac:dyDescent="0.2">
      <c r="A137" s="309"/>
      <c r="B137" s="309"/>
      <c r="C137" s="309"/>
      <c r="E137" s="309"/>
      <c r="F137" s="309"/>
      <c r="H137" s="309"/>
      <c r="I137" s="334"/>
    </row>
    <row r="138" spans="1:17" ht="12.75" x14ac:dyDescent="0.2">
      <c r="A138" s="309"/>
      <c r="B138" s="309"/>
      <c r="C138" s="309"/>
      <c r="E138" s="309"/>
      <c r="F138" s="309"/>
      <c r="H138" s="309"/>
      <c r="I138" s="334"/>
    </row>
    <row r="139" spans="1:17" ht="12.75" x14ac:dyDescent="0.2">
      <c r="A139" s="309"/>
      <c r="B139" s="309"/>
      <c r="C139" s="309"/>
      <c r="E139" s="309"/>
      <c r="F139" s="309"/>
      <c r="H139" s="309"/>
      <c r="I139" s="334"/>
    </row>
    <row r="140" spans="1:17" ht="12.75" x14ac:dyDescent="0.2">
      <c r="A140" s="309"/>
      <c r="B140" s="309"/>
      <c r="C140" s="309"/>
      <c r="E140" s="309"/>
      <c r="F140" s="309"/>
      <c r="H140" s="309"/>
      <c r="I140" s="334"/>
    </row>
    <row r="141" spans="1:17" ht="12.75" x14ac:dyDescent="0.2">
      <c r="A141" s="309"/>
      <c r="B141" s="309"/>
      <c r="C141" s="309"/>
      <c r="E141" s="309"/>
      <c r="F141" s="309"/>
      <c r="H141" s="309"/>
      <c r="I141" s="334"/>
    </row>
    <row r="142" spans="1:17" ht="12.75" x14ac:dyDescent="0.2">
      <c r="A142" s="309"/>
      <c r="B142" s="309"/>
      <c r="C142" s="309"/>
      <c r="E142" s="309"/>
      <c r="F142" s="309"/>
      <c r="H142" s="309"/>
      <c r="I142" s="334"/>
    </row>
    <row r="143" spans="1:17" ht="12.75" x14ac:dyDescent="0.2">
      <c r="A143" s="309"/>
      <c r="B143" s="309"/>
      <c r="C143" s="309"/>
      <c r="E143" s="309"/>
      <c r="F143" s="309"/>
      <c r="H143" s="309"/>
      <c r="I143" s="334"/>
    </row>
    <row r="144" spans="1:17" ht="12.75" x14ac:dyDescent="0.2">
      <c r="A144" s="309"/>
      <c r="B144" s="309"/>
      <c r="C144" s="309"/>
      <c r="E144" s="309"/>
      <c r="F144" s="309"/>
      <c r="H144" s="309"/>
      <c r="I144" s="334"/>
    </row>
    <row r="145" spans="1:9" ht="12.75" x14ac:dyDescent="0.2">
      <c r="A145" s="309"/>
      <c r="B145" s="309"/>
      <c r="C145" s="309"/>
      <c r="E145" s="309"/>
      <c r="F145" s="309"/>
      <c r="H145" s="309"/>
      <c r="I145" s="334"/>
    </row>
    <row r="146" spans="1:9" ht="12.75" x14ac:dyDescent="0.2">
      <c r="A146" s="309"/>
      <c r="B146" s="309"/>
      <c r="C146" s="309"/>
      <c r="E146" s="309"/>
      <c r="F146" s="309"/>
      <c r="H146" s="309"/>
      <c r="I146" s="334"/>
    </row>
    <row r="147" spans="1:9" ht="12.75" x14ac:dyDescent="0.2">
      <c r="A147" s="309"/>
      <c r="B147" s="309"/>
      <c r="C147" s="309"/>
      <c r="E147" s="309"/>
      <c r="F147" s="309"/>
      <c r="H147" s="309"/>
      <c r="I147" s="334"/>
    </row>
    <row r="148" spans="1:9" ht="12.75" x14ac:dyDescent="0.2">
      <c r="A148" s="309"/>
      <c r="B148" s="309"/>
      <c r="C148" s="309"/>
      <c r="E148" s="309"/>
      <c r="F148" s="309"/>
      <c r="H148" s="309"/>
      <c r="I148" s="334"/>
    </row>
    <row r="149" spans="1:9" ht="12.75" x14ac:dyDescent="0.2">
      <c r="A149" s="309"/>
      <c r="B149" s="309"/>
      <c r="C149" s="309"/>
      <c r="E149" s="309"/>
      <c r="F149" s="309"/>
      <c r="H149" s="309"/>
      <c r="I149" s="334"/>
    </row>
    <row r="150" spans="1:9" ht="12.75" x14ac:dyDescent="0.2">
      <c r="A150" s="309"/>
      <c r="B150" s="309"/>
      <c r="C150" s="309"/>
      <c r="E150" s="309"/>
      <c r="F150" s="309"/>
      <c r="H150" s="309"/>
      <c r="I150" s="334"/>
    </row>
    <row r="151" spans="1:9" ht="12.75" x14ac:dyDescent="0.2">
      <c r="A151" s="309"/>
      <c r="B151" s="309"/>
      <c r="C151" s="309"/>
      <c r="E151" s="309"/>
      <c r="F151" s="309"/>
      <c r="H151" s="309"/>
      <c r="I151" s="334"/>
    </row>
    <row r="152" spans="1:9" ht="12.75" x14ac:dyDescent="0.2">
      <c r="A152" s="309"/>
      <c r="B152" s="309"/>
      <c r="C152" s="309"/>
      <c r="E152" s="309"/>
      <c r="F152" s="309"/>
      <c r="H152" s="309"/>
      <c r="I152" s="334"/>
    </row>
    <row r="153" spans="1:9" ht="12.75" x14ac:dyDescent="0.2">
      <c r="A153" s="309"/>
      <c r="B153" s="309"/>
      <c r="C153" s="309"/>
      <c r="E153" s="309"/>
      <c r="F153" s="309"/>
      <c r="H153" s="309"/>
      <c r="I153" s="334"/>
    </row>
    <row r="154" spans="1:9" ht="12.75" x14ac:dyDescent="0.2">
      <c r="A154" s="309"/>
      <c r="B154" s="309"/>
      <c r="C154" s="309"/>
      <c r="E154" s="309"/>
      <c r="F154" s="309"/>
      <c r="H154" s="309"/>
      <c r="I154" s="334"/>
    </row>
    <row r="155" spans="1:9" ht="12.75" x14ac:dyDescent="0.2">
      <c r="A155" s="309"/>
      <c r="B155" s="309"/>
      <c r="C155" s="309"/>
      <c r="E155" s="309"/>
      <c r="F155" s="309"/>
      <c r="H155" s="309"/>
      <c r="I155" s="334"/>
    </row>
    <row r="156" spans="1:9" ht="12.75" x14ac:dyDescent="0.2">
      <c r="A156" s="309"/>
      <c r="B156" s="309"/>
      <c r="C156" s="309"/>
      <c r="E156" s="309"/>
      <c r="F156" s="309"/>
      <c r="H156" s="309"/>
      <c r="I156" s="334"/>
    </row>
    <row r="157" spans="1:9" ht="12.75" x14ac:dyDescent="0.2">
      <c r="A157" s="309"/>
      <c r="B157" s="309"/>
      <c r="C157" s="309"/>
      <c r="E157" s="309"/>
      <c r="F157" s="309"/>
      <c r="H157" s="309"/>
      <c r="I157" s="334"/>
    </row>
    <row r="158" spans="1:9" ht="12.75" x14ac:dyDescent="0.2">
      <c r="A158" s="309"/>
      <c r="B158" s="309"/>
      <c r="C158" s="309"/>
      <c r="E158" s="309"/>
      <c r="F158" s="309"/>
      <c r="H158" s="309"/>
      <c r="I158" s="334"/>
    </row>
    <row r="159" spans="1:9" ht="12.75" x14ac:dyDescent="0.2">
      <c r="A159" s="309"/>
      <c r="B159" s="309"/>
      <c r="C159" s="309"/>
      <c r="E159" s="309"/>
      <c r="F159" s="309"/>
      <c r="H159" s="309"/>
      <c r="I159" s="334"/>
    </row>
    <row r="160" spans="1:9" ht="12.75" x14ac:dyDescent="0.2">
      <c r="A160" s="309"/>
      <c r="B160" s="309"/>
      <c r="C160" s="309"/>
      <c r="E160" s="309"/>
      <c r="F160" s="309"/>
      <c r="H160" s="309"/>
      <c r="I160" s="334"/>
    </row>
    <row r="161" spans="1:9" ht="12.75" x14ac:dyDescent="0.2">
      <c r="A161" s="309"/>
      <c r="B161" s="309"/>
      <c r="C161" s="309"/>
      <c r="E161" s="309"/>
      <c r="F161" s="309"/>
      <c r="H161" s="309"/>
      <c r="I161" s="334"/>
    </row>
    <row r="162" spans="1:9" ht="12.75" x14ac:dyDescent="0.2">
      <c r="A162" s="309"/>
      <c r="B162" s="309"/>
      <c r="C162" s="309"/>
      <c r="E162" s="309"/>
      <c r="F162" s="309"/>
      <c r="H162" s="309"/>
      <c r="I162" s="334"/>
    </row>
    <row r="163" spans="1:9" ht="12.75" x14ac:dyDescent="0.2">
      <c r="A163" s="309"/>
      <c r="B163" s="309"/>
      <c r="C163" s="309"/>
      <c r="E163" s="309"/>
      <c r="F163" s="309"/>
      <c r="H163" s="309"/>
      <c r="I163" s="334"/>
    </row>
    <row r="164" spans="1:9" ht="12.75" x14ac:dyDescent="0.2">
      <c r="A164" s="309"/>
      <c r="B164" s="309"/>
      <c r="C164" s="309"/>
      <c r="E164" s="309"/>
      <c r="F164" s="309"/>
      <c r="H164" s="309"/>
      <c r="I164" s="334"/>
    </row>
    <row r="165" spans="1:9" ht="12.75" x14ac:dyDescent="0.2">
      <c r="A165" s="309"/>
      <c r="B165" s="309"/>
      <c r="C165" s="309"/>
      <c r="E165" s="309"/>
      <c r="F165" s="309"/>
      <c r="H165" s="309"/>
      <c r="I165" s="334"/>
    </row>
    <row r="166" spans="1:9" ht="12.75" x14ac:dyDescent="0.2">
      <c r="A166" s="309"/>
      <c r="B166" s="309"/>
      <c r="C166" s="309"/>
      <c r="E166" s="309"/>
      <c r="F166" s="309"/>
      <c r="H166" s="309"/>
      <c r="I166" s="334"/>
    </row>
    <row r="167" spans="1:9" ht="12.75" x14ac:dyDescent="0.2">
      <c r="A167" s="309"/>
      <c r="B167" s="309"/>
      <c r="C167" s="309"/>
      <c r="E167" s="309"/>
      <c r="F167" s="309"/>
      <c r="H167" s="309"/>
      <c r="I167" s="334"/>
    </row>
    <row r="168" spans="1:9" ht="12.75" x14ac:dyDescent="0.2">
      <c r="A168" s="309"/>
      <c r="B168" s="309"/>
      <c r="C168" s="309"/>
      <c r="E168" s="309"/>
      <c r="F168" s="309"/>
      <c r="H168" s="309"/>
      <c r="I168" s="334"/>
    </row>
    <row r="169" spans="1:9" ht="12.75" x14ac:dyDescent="0.2">
      <c r="A169" s="309"/>
      <c r="B169" s="309"/>
      <c r="C169" s="309"/>
      <c r="E169" s="309"/>
      <c r="F169" s="309"/>
      <c r="H169" s="309"/>
      <c r="I169" s="334"/>
    </row>
    <row r="170" spans="1:9" ht="12.75" x14ac:dyDescent="0.2">
      <c r="A170" s="309"/>
      <c r="B170" s="309"/>
      <c r="C170" s="309"/>
      <c r="E170" s="309"/>
      <c r="F170" s="309"/>
      <c r="H170" s="309"/>
      <c r="I170" s="334"/>
    </row>
    <row r="171" spans="1:9" ht="12.75" x14ac:dyDescent="0.2">
      <c r="A171" s="309"/>
      <c r="B171" s="309"/>
      <c r="C171" s="309"/>
      <c r="E171" s="309"/>
      <c r="F171" s="309"/>
      <c r="H171" s="309"/>
      <c r="I171" s="334"/>
    </row>
    <row r="172" spans="1:9" ht="12.75" x14ac:dyDescent="0.2">
      <c r="A172" s="309"/>
      <c r="B172" s="309"/>
      <c r="C172" s="309"/>
      <c r="E172" s="309"/>
      <c r="F172" s="309"/>
      <c r="H172" s="309"/>
      <c r="I172" s="334"/>
    </row>
    <row r="173" spans="1:9" ht="12.75" x14ac:dyDescent="0.2">
      <c r="A173" s="309"/>
      <c r="B173" s="309"/>
      <c r="C173" s="309"/>
      <c r="E173" s="309"/>
      <c r="F173" s="309"/>
      <c r="H173" s="309"/>
      <c r="I173" s="334"/>
    </row>
    <row r="174" spans="1:9" ht="12.75" x14ac:dyDescent="0.2">
      <c r="A174" s="309"/>
      <c r="B174" s="309"/>
      <c r="C174" s="309"/>
      <c r="E174" s="309"/>
      <c r="F174" s="309"/>
      <c r="H174" s="309"/>
      <c r="I174" s="334"/>
    </row>
    <row r="175" spans="1:9" ht="12.75" x14ac:dyDescent="0.2">
      <c r="A175" s="309"/>
      <c r="B175" s="309"/>
      <c r="C175" s="309"/>
      <c r="E175" s="309"/>
      <c r="F175" s="309"/>
      <c r="H175" s="309"/>
      <c r="I175" s="334"/>
    </row>
    <row r="176" spans="1:9" ht="12.75" x14ac:dyDescent="0.2">
      <c r="A176" s="309"/>
      <c r="B176" s="309"/>
      <c r="C176" s="309"/>
      <c r="E176" s="309"/>
      <c r="F176" s="309"/>
      <c r="H176" s="309"/>
      <c r="I176" s="334"/>
    </row>
    <row r="177" spans="1:9" ht="12.75" x14ac:dyDescent="0.2">
      <c r="A177" s="309"/>
      <c r="B177" s="309"/>
      <c r="C177" s="309"/>
      <c r="E177" s="309"/>
      <c r="F177" s="309"/>
      <c r="H177" s="309"/>
      <c r="I177" s="334"/>
    </row>
    <row r="178" spans="1:9" ht="12.75" x14ac:dyDescent="0.2">
      <c r="A178" s="309"/>
      <c r="B178" s="309"/>
      <c r="C178" s="309"/>
      <c r="E178" s="309"/>
      <c r="F178" s="309"/>
      <c r="H178" s="309"/>
      <c r="I178" s="334"/>
    </row>
    <row r="179" spans="1:9" ht="12.75" x14ac:dyDescent="0.2">
      <c r="A179" s="309"/>
      <c r="B179" s="309"/>
      <c r="C179" s="309"/>
      <c r="E179" s="309"/>
      <c r="F179" s="309"/>
      <c r="H179" s="309"/>
      <c r="I179" s="334"/>
    </row>
    <row r="180" spans="1:9" ht="12.75" x14ac:dyDescent="0.2">
      <c r="A180" s="309"/>
      <c r="B180" s="309"/>
      <c r="C180" s="309"/>
      <c r="E180" s="309"/>
      <c r="F180" s="309"/>
      <c r="H180" s="309"/>
      <c r="I180" s="334"/>
    </row>
    <row r="181" spans="1:9" ht="12.75" x14ac:dyDescent="0.2">
      <c r="A181" s="309"/>
      <c r="B181" s="309"/>
      <c r="C181" s="309"/>
      <c r="E181" s="309"/>
      <c r="F181" s="309"/>
      <c r="H181" s="309"/>
      <c r="I181" s="334"/>
    </row>
    <row r="182" spans="1:9" ht="12.75" x14ac:dyDescent="0.2">
      <c r="A182" s="309"/>
      <c r="B182" s="309"/>
      <c r="C182" s="309"/>
      <c r="E182" s="309"/>
      <c r="F182" s="309"/>
      <c r="H182" s="309"/>
      <c r="I182" s="334"/>
    </row>
    <row r="183" spans="1:9" ht="12.75" x14ac:dyDescent="0.2">
      <c r="A183" s="309"/>
      <c r="B183" s="309"/>
      <c r="C183" s="309"/>
      <c r="E183" s="309"/>
      <c r="F183" s="309"/>
      <c r="H183" s="309"/>
      <c r="I183" s="334"/>
    </row>
    <row r="184" spans="1:9" ht="12.75" x14ac:dyDescent="0.2">
      <c r="A184" s="309"/>
      <c r="B184" s="309"/>
      <c r="C184" s="309"/>
      <c r="E184" s="309"/>
      <c r="F184" s="309"/>
      <c r="H184" s="309"/>
      <c r="I184" s="334"/>
    </row>
    <row r="185" spans="1:9" ht="12.75" x14ac:dyDescent="0.2">
      <c r="A185" s="309"/>
      <c r="B185" s="309"/>
      <c r="C185" s="309"/>
      <c r="E185" s="309"/>
      <c r="F185" s="309"/>
      <c r="H185" s="309"/>
      <c r="I185" s="334"/>
    </row>
    <row r="186" spans="1:9" ht="12.75" x14ac:dyDescent="0.2">
      <c r="A186" s="309"/>
      <c r="B186" s="309"/>
      <c r="C186" s="309"/>
      <c r="E186" s="309"/>
      <c r="F186" s="309"/>
      <c r="H186" s="309"/>
      <c r="I186" s="334"/>
    </row>
    <row r="187" spans="1:9" ht="12.75" x14ac:dyDescent="0.2">
      <c r="A187" s="309"/>
      <c r="B187" s="309"/>
      <c r="C187" s="309"/>
      <c r="E187" s="309"/>
      <c r="F187" s="309"/>
      <c r="H187" s="309"/>
      <c r="I187" s="334"/>
    </row>
    <row r="188" spans="1:9" ht="12.75" x14ac:dyDescent="0.2">
      <c r="A188" s="309"/>
      <c r="B188" s="309"/>
      <c r="C188" s="309"/>
      <c r="E188" s="309"/>
      <c r="F188" s="309"/>
      <c r="H188" s="309"/>
      <c r="I188" s="334"/>
    </row>
    <row r="189" spans="1:9" ht="12.75" x14ac:dyDescent="0.2">
      <c r="A189" s="309"/>
      <c r="B189" s="309"/>
      <c r="C189" s="309"/>
      <c r="E189" s="309"/>
      <c r="F189" s="309"/>
      <c r="H189" s="309"/>
      <c r="I189" s="334"/>
    </row>
    <row r="190" spans="1:9" ht="12.75" x14ac:dyDescent="0.2">
      <c r="A190" s="309"/>
      <c r="B190" s="309"/>
      <c r="C190" s="309"/>
      <c r="E190" s="309"/>
      <c r="F190" s="309"/>
      <c r="H190" s="309"/>
      <c r="I190" s="334"/>
    </row>
    <row r="191" spans="1:9" ht="12.75" x14ac:dyDescent="0.2">
      <c r="A191" s="309"/>
      <c r="B191" s="309"/>
      <c r="C191" s="309"/>
      <c r="E191" s="309"/>
      <c r="F191" s="309"/>
      <c r="H191" s="309"/>
      <c r="I191" s="334"/>
    </row>
    <row r="192" spans="1:9" ht="12.75" x14ac:dyDescent="0.2">
      <c r="A192" s="309"/>
      <c r="B192" s="309"/>
      <c r="C192" s="309"/>
      <c r="E192" s="309"/>
      <c r="F192" s="309"/>
      <c r="H192" s="309"/>
      <c r="I192" s="334"/>
    </row>
    <row r="193" spans="1:9" ht="12.75" x14ac:dyDescent="0.2">
      <c r="A193" s="309"/>
      <c r="B193" s="309"/>
      <c r="C193" s="309"/>
      <c r="E193" s="309"/>
      <c r="F193" s="309"/>
      <c r="H193" s="309"/>
      <c r="I193" s="334"/>
    </row>
    <row r="194" spans="1:9" ht="12.75" x14ac:dyDescent="0.2">
      <c r="A194" s="309"/>
      <c r="B194" s="309"/>
      <c r="C194" s="309"/>
      <c r="E194" s="309"/>
      <c r="F194" s="309"/>
      <c r="H194" s="309"/>
      <c r="I194" s="334"/>
    </row>
    <row r="195" spans="1:9" ht="12.75" x14ac:dyDescent="0.2">
      <c r="A195" s="309"/>
      <c r="B195" s="309"/>
      <c r="C195" s="309"/>
      <c r="E195" s="309"/>
      <c r="F195" s="309"/>
      <c r="H195" s="309"/>
      <c r="I195" s="334"/>
    </row>
    <row r="196" spans="1:9" ht="12.75" x14ac:dyDescent="0.2">
      <c r="A196" s="309"/>
      <c r="B196" s="309"/>
      <c r="C196" s="309"/>
      <c r="E196" s="309"/>
      <c r="F196" s="309"/>
      <c r="H196" s="309"/>
      <c r="I196" s="334"/>
    </row>
    <row r="197" spans="1:9" ht="12.75" x14ac:dyDescent="0.2">
      <c r="A197" s="309"/>
      <c r="B197" s="309"/>
      <c r="C197" s="309"/>
      <c r="E197" s="309"/>
      <c r="F197" s="309"/>
      <c r="H197" s="309"/>
      <c r="I197" s="334"/>
    </row>
    <row r="198" spans="1:9" ht="12.75" x14ac:dyDescent="0.2">
      <c r="A198" s="309"/>
      <c r="B198" s="309"/>
      <c r="C198" s="309"/>
      <c r="E198" s="309"/>
      <c r="F198" s="309"/>
      <c r="H198" s="309"/>
      <c r="I198" s="334"/>
    </row>
    <row r="199" spans="1:9" ht="12.75" x14ac:dyDescent="0.2">
      <c r="A199" s="309"/>
      <c r="B199" s="309"/>
      <c r="C199" s="309"/>
      <c r="E199" s="309"/>
      <c r="F199" s="309"/>
      <c r="H199" s="309"/>
      <c r="I199" s="334"/>
    </row>
    <row r="200" spans="1:9" ht="12.75" x14ac:dyDescent="0.2">
      <c r="A200" s="309"/>
      <c r="B200" s="309"/>
      <c r="C200" s="309"/>
      <c r="E200" s="309"/>
      <c r="F200" s="309"/>
      <c r="H200" s="309"/>
      <c r="I200" s="334"/>
    </row>
    <row r="201" spans="1:9" ht="12.75" x14ac:dyDescent="0.2">
      <c r="A201" s="309"/>
      <c r="B201" s="309"/>
      <c r="C201" s="309"/>
      <c r="E201" s="309"/>
      <c r="F201" s="309"/>
      <c r="H201" s="309"/>
      <c r="I201" s="334"/>
    </row>
    <row r="202" spans="1:9" ht="12.75" x14ac:dyDescent="0.2">
      <c r="A202" s="309"/>
      <c r="B202" s="309"/>
      <c r="C202" s="309"/>
      <c r="E202" s="309"/>
      <c r="F202" s="309"/>
      <c r="H202" s="309"/>
      <c r="I202" s="334"/>
    </row>
    <row r="203" spans="1:9" ht="12.75" x14ac:dyDescent="0.2">
      <c r="A203" s="309"/>
      <c r="B203" s="309"/>
      <c r="C203" s="309"/>
      <c r="E203" s="309"/>
      <c r="F203" s="309"/>
      <c r="H203" s="309"/>
      <c r="I203" s="334"/>
    </row>
    <row r="204" spans="1:9" ht="12.75" x14ac:dyDescent="0.2">
      <c r="A204" s="309"/>
      <c r="B204" s="309"/>
      <c r="C204" s="309"/>
      <c r="E204" s="309"/>
      <c r="F204" s="309"/>
      <c r="H204" s="309"/>
      <c r="I204" s="334"/>
    </row>
    <row r="205" spans="1:9" ht="12.75" x14ac:dyDescent="0.2">
      <c r="A205" s="309"/>
      <c r="B205" s="309"/>
      <c r="C205" s="309"/>
      <c r="E205" s="309"/>
      <c r="F205" s="309"/>
      <c r="H205" s="309"/>
      <c r="I205" s="334"/>
    </row>
    <row r="206" spans="1:9" ht="12.75" x14ac:dyDescent="0.2">
      <c r="A206" s="309"/>
      <c r="B206" s="309"/>
      <c r="C206" s="309"/>
      <c r="E206" s="309"/>
      <c r="F206" s="309"/>
      <c r="H206" s="309"/>
      <c r="I206" s="334"/>
    </row>
    <row r="207" spans="1:9" ht="12.75" x14ac:dyDescent="0.2">
      <c r="A207" s="309"/>
      <c r="B207" s="309"/>
      <c r="C207" s="309"/>
      <c r="E207" s="309"/>
      <c r="F207" s="309"/>
      <c r="H207" s="309"/>
      <c r="I207" s="334"/>
    </row>
    <row r="208" spans="1:9" ht="12.75" x14ac:dyDescent="0.2">
      <c r="A208" s="309"/>
      <c r="B208" s="309"/>
      <c r="C208" s="309"/>
      <c r="E208" s="309"/>
      <c r="F208" s="309"/>
      <c r="H208" s="309"/>
      <c r="I208" s="334"/>
    </row>
    <row r="209" spans="1:9" ht="12.75" x14ac:dyDescent="0.2">
      <c r="A209" s="309"/>
      <c r="B209" s="309"/>
      <c r="C209" s="309"/>
      <c r="E209" s="309"/>
      <c r="F209" s="309"/>
      <c r="H209" s="309"/>
      <c r="I209" s="334"/>
    </row>
    <row r="210" spans="1:9" ht="12.75" x14ac:dyDescent="0.2">
      <c r="A210" s="309"/>
      <c r="B210" s="309"/>
      <c r="C210" s="309"/>
      <c r="E210" s="309"/>
      <c r="F210" s="309"/>
      <c r="H210" s="309"/>
      <c r="I210" s="334"/>
    </row>
    <row r="211" spans="1:9" ht="12.75" x14ac:dyDescent="0.2">
      <c r="A211" s="309"/>
      <c r="B211" s="309"/>
      <c r="C211" s="309"/>
      <c r="E211" s="309"/>
      <c r="F211" s="309"/>
      <c r="H211" s="309"/>
      <c r="I211" s="334"/>
    </row>
    <row r="212" spans="1:9" ht="12.75" x14ac:dyDescent="0.2">
      <c r="A212" s="309"/>
      <c r="B212" s="309"/>
      <c r="C212" s="309"/>
      <c r="E212" s="309"/>
      <c r="F212" s="309"/>
      <c r="H212" s="309"/>
      <c r="I212" s="334"/>
    </row>
    <row r="213" spans="1:9" ht="12.75" x14ac:dyDescent="0.2">
      <c r="A213" s="309"/>
      <c r="B213" s="324"/>
      <c r="C213" s="309"/>
      <c r="E213" s="309"/>
      <c r="F213" s="309"/>
      <c r="H213" s="309"/>
      <c r="I213" s="334"/>
    </row>
    <row r="214" spans="1:9" x14ac:dyDescent="0.25">
      <c r="A214" s="309"/>
      <c r="B214" s="324"/>
      <c r="D214" s="306"/>
      <c r="E214" s="325"/>
    </row>
    <row r="215" spans="1:9" x14ac:dyDescent="0.25">
      <c r="A215" s="309"/>
      <c r="B215" s="324"/>
      <c r="D215" s="306"/>
      <c r="E215" s="325"/>
    </row>
    <row r="216" spans="1:9" x14ac:dyDescent="0.25">
      <c r="A216" s="309"/>
      <c r="B216" s="324"/>
      <c r="D216" s="306"/>
      <c r="E216" s="325"/>
    </row>
    <row r="217" spans="1:9" x14ac:dyDescent="0.25">
      <c r="A217" s="309"/>
      <c r="B217" s="324"/>
      <c r="D217" s="306"/>
      <c r="E217" s="325"/>
    </row>
    <row r="218" spans="1:9" x14ac:dyDescent="0.25">
      <c r="A218" s="309"/>
      <c r="B218" s="324"/>
      <c r="D218" s="306"/>
      <c r="E218" s="325"/>
    </row>
    <row r="219" spans="1:9" x14ac:dyDescent="0.25">
      <c r="A219" s="309"/>
      <c r="B219" s="324"/>
      <c r="D219" s="306"/>
      <c r="E219" s="325"/>
    </row>
    <row r="220" spans="1:9" x14ac:dyDescent="0.25">
      <c r="A220" s="309"/>
      <c r="B220" s="324"/>
      <c r="D220" s="306"/>
      <c r="E220" s="325"/>
    </row>
    <row r="221" spans="1:9" x14ac:dyDescent="0.25">
      <c r="A221" s="309"/>
      <c r="B221" s="324"/>
      <c r="D221" s="306"/>
      <c r="E221" s="325"/>
    </row>
    <row r="222" spans="1:9" x14ac:dyDescent="0.25">
      <c r="A222" s="309"/>
      <c r="B222" s="324"/>
      <c r="D222" s="306"/>
      <c r="E222" s="325"/>
    </row>
    <row r="223" spans="1:9" x14ac:dyDescent="0.25">
      <c r="A223" s="309"/>
      <c r="B223" s="324"/>
      <c r="D223" s="306"/>
      <c r="E223" s="325"/>
    </row>
    <row r="224" spans="1:9" x14ac:dyDescent="0.25">
      <c r="A224" s="309"/>
      <c r="B224" s="324"/>
      <c r="D224" s="306"/>
      <c r="E224" s="325"/>
    </row>
    <row r="225" spans="1:5" x14ac:dyDescent="0.25">
      <c r="A225" s="309"/>
      <c r="B225" s="324"/>
      <c r="D225" s="306"/>
      <c r="E225" s="325"/>
    </row>
    <row r="226" spans="1:5" x14ac:dyDescent="0.25">
      <c r="A226" s="309"/>
      <c r="B226" s="324"/>
      <c r="D226" s="306"/>
      <c r="E226" s="325"/>
    </row>
    <row r="227" spans="1:5" x14ac:dyDescent="0.25">
      <c r="A227" s="309"/>
      <c r="B227" s="324"/>
      <c r="D227" s="306"/>
      <c r="E227" s="325"/>
    </row>
    <row r="228" spans="1:5" x14ac:dyDescent="0.25">
      <c r="A228" s="309"/>
      <c r="B228" s="324"/>
      <c r="D228" s="306"/>
      <c r="E228" s="325"/>
    </row>
    <row r="229" spans="1:5" x14ac:dyDescent="0.25">
      <c r="A229" s="309"/>
      <c r="B229" s="324"/>
      <c r="D229" s="306"/>
      <c r="E229" s="325"/>
    </row>
    <row r="230" spans="1:5" x14ac:dyDescent="0.25">
      <c r="A230" s="309"/>
      <c r="B230" s="324"/>
      <c r="D230" s="306"/>
      <c r="E230" s="325"/>
    </row>
    <row r="231" spans="1:5" x14ac:dyDescent="0.25">
      <c r="A231" s="309"/>
      <c r="B231" s="324"/>
      <c r="D231" s="306"/>
      <c r="E231" s="325"/>
    </row>
    <row r="232" spans="1:5" x14ac:dyDescent="0.25">
      <c r="A232" s="309"/>
      <c r="B232" s="324"/>
      <c r="D232" s="306"/>
      <c r="E232" s="325"/>
    </row>
    <row r="233" spans="1:5" x14ac:dyDescent="0.25">
      <c r="A233" s="309"/>
      <c r="B233" s="324"/>
      <c r="D233" s="306"/>
      <c r="E233" s="325"/>
    </row>
    <row r="234" spans="1:5" x14ac:dyDescent="0.25">
      <c r="A234" s="309"/>
      <c r="B234" s="324"/>
      <c r="D234" s="306"/>
      <c r="E234" s="325"/>
    </row>
    <row r="235" spans="1:5" x14ac:dyDescent="0.25">
      <c r="A235" s="309"/>
      <c r="B235" s="324"/>
      <c r="D235" s="306"/>
      <c r="E235" s="325"/>
    </row>
    <row r="236" spans="1:5" x14ac:dyDescent="0.25">
      <c r="A236" s="309"/>
      <c r="B236" s="324"/>
      <c r="D236" s="306"/>
      <c r="E236" s="325"/>
    </row>
    <row r="237" spans="1:5" x14ac:dyDescent="0.25">
      <c r="A237" s="309"/>
      <c r="B237" s="324"/>
      <c r="D237" s="306"/>
      <c r="E237" s="325"/>
    </row>
    <row r="238" spans="1:5" x14ac:dyDescent="0.25">
      <c r="A238" s="309"/>
      <c r="B238" s="324"/>
      <c r="D238" s="306"/>
      <c r="E238" s="325"/>
    </row>
    <row r="239" spans="1:5" x14ac:dyDescent="0.25">
      <c r="A239" s="309"/>
      <c r="B239" s="324"/>
      <c r="D239" s="306"/>
      <c r="E239" s="325"/>
    </row>
    <row r="240" spans="1:5" x14ac:dyDescent="0.25">
      <c r="A240" s="309"/>
      <c r="B240" s="324"/>
      <c r="D240" s="306"/>
      <c r="E240" s="325"/>
    </row>
    <row r="241" spans="1:5" x14ac:dyDescent="0.25">
      <c r="A241" s="309"/>
      <c r="B241" s="324"/>
      <c r="D241" s="306"/>
      <c r="E241" s="325"/>
    </row>
    <row r="242" spans="1:5" x14ac:dyDescent="0.25">
      <c r="A242" s="309"/>
      <c r="B242" s="324"/>
      <c r="D242" s="306"/>
      <c r="E242" s="325"/>
    </row>
    <row r="243" spans="1:5" x14ac:dyDescent="0.25">
      <c r="A243" s="309"/>
      <c r="B243" s="324"/>
      <c r="D243" s="306"/>
      <c r="E243" s="325"/>
    </row>
    <row r="244" spans="1:5" x14ac:dyDescent="0.25">
      <c r="A244" s="309"/>
      <c r="B244" s="324"/>
      <c r="D244" s="306"/>
      <c r="E244" s="325"/>
    </row>
    <row r="245" spans="1:5" x14ac:dyDescent="0.25">
      <c r="A245" s="309"/>
      <c r="B245" s="324"/>
      <c r="D245" s="306"/>
      <c r="E245" s="325"/>
    </row>
    <row r="246" spans="1:5" x14ac:dyDescent="0.25">
      <c r="A246" s="309"/>
      <c r="B246" s="324"/>
      <c r="D246" s="306"/>
      <c r="E246" s="325"/>
    </row>
    <row r="247" spans="1:5" x14ac:dyDescent="0.25">
      <c r="A247" s="309"/>
      <c r="B247" s="324"/>
      <c r="D247" s="306"/>
      <c r="E247" s="325"/>
    </row>
    <row r="248" spans="1:5" x14ac:dyDescent="0.25">
      <c r="A248" s="309"/>
      <c r="B248" s="324"/>
      <c r="D248" s="306"/>
      <c r="E248" s="325"/>
    </row>
    <row r="249" spans="1:5" x14ac:dyDescent="0.25">
      <c r="A249" s="309"/>
      <c r="B249" s="324"/>
      <c r="D249" s="306"/>
      <c r="E249" s="325"/>
    </row>
    <row r="250" spans="1:5" x14ac:dyDescent="0.25">
      <c r="A250" s="309"/>
      <c r="B250" s="324"/>
      <c r="D250" s="306"/>
      <c r="E250" s="325"/>
    </row>
    <row r="251" spans="1:5" x14ac:dyDescent="0.25">
      <c r="A251" s="309"/>
      <c r="B251" s="324"/>
      <c r="D251" s="306"/>
      <c r="E251" s="325"/>
    </row>
    <row r="252" spans="1:5" x14ac:dyDescent="0.25">
      <c r="A252" s="309"/>
      <c r="B252" s="324"/>
      <c r="D252" s="306"/>
      <c r="E252" s="325"/>
    </row>
    <row r="253" spans="1:5" x14ac:dyDescent="0.25">
      <c r="A253" s="309"/>
      <c r="B253" s="324"/>
      <c r="D253" s="306"/>
      <c r="E253" s="325"/>
    </row>
    <row r="254" spans="1:5" x14ac:dyDescent="0.25">
      <c r="A254" s="309"/>
      <c r="B254" s="324"/>
      <c r="D254" s="306"/>
      <c r="E254" s="325"/>
    </row>
    <row r="255" spans="1:5" x14ac:dyDescent="0.25">
      <c r="A255" s="309"/>
      <c r="B255" s="324"/>
      <c r="D255" s="306"/>
      <c r="E255" s="325"/>
    </row>
    <row r="256" spans="1:5" x14ac:dyDescent="0.25">
      <c r="A256" s="309"/>
      <c r="B256" s="324"/>
      <c r="D256" s="306"/>
      <c r="E256" s="325"/>
    </row>
    <row r="257" spans="1:5" x14ac:dyDescent="0.25">
      <c r="A257" s="309"/>
      <c r="B257" s="324"/>
      <c r="D257" s="306"/>
      <c r="E257" s="325"/>
    </row>
    <row r="258" spans="1:5" x14ac:dyDescent="0.25">
      <c r="A258" s="309"/>
      <c r="B258" s="324"/>
      <c r="D258" s="306"/>
      <c r="E258" s="325"/>
    </row>
    <row r="259" spans="1:5" x14ac:dyDescent="0.25">
      <c r="A259" s="309"/>
      <c r="B259" s="324"/>
      <c r="D259" s="306"/>
      <c r="E259" s="325"/>
    </row>
    <row r="260" spans="1:5" x14ac:dyDescent="0.25">
      <c r="A260" s="309"/>
      <c r="B260" s="324"/>
      <c r="D260" s="306"/>
      <c r="E260" s="325"/>
    </row>
    <row r="261" spans="1:5" x14ac:dyDescent="0.25">
      <c r="A261" s="309"/>
      <c r="B261" s="324"/>
      <c r="D261" s="306"/>
      <c r="E261" s="325"/>
    </row>
    <row r="262" spans="1:5" x14ac:dyDescent="0.25">
      <c r="A262" s="309"/>
      <c r="B262" s="324"/>
      <c r="D262" s="306"/>
      <c r="E262" s="325"/>
    </row>
    <row r="263" spans="1:5" x14ac:dyDescent="0.25">
      <c r="A263" s="309"/>
      <c r="B263" s="324"/>
      <c r="D263" s="306"/>
      <c r="E263" s="325"/>
    </row>
    <row r="264" spans="1:5" x14ac:dyDescent="0.25">
      <c r="A264" s="309"/>
      <c r="B264" s="324"/>
      <c r="D264" s="306"/>
      <c r="E264" s="325"/>
    </row>
    <row r="265" spans="1:5" x14ac:dyDescent="0.25">
      <c r="A265" s="309"/>
      <c r="B265" s="324"/>
      <c r="D265" s="306"/>
      <c r="E265" s="325"/>
    </row>
    <row r="266" spans="1:5" x14ac:dyDescent="0.25">
      <c r="A266" s="309"/>
      <c r="B266" s="324"/>
      <c r="D266" s="306"/>
      <c r="E266" s="325"/>
    </row>
    <row r="267" spans="1:5" x14ac:dyDescent="0.25">
      <c r="A267" s="309"/>
      <c r="B267" s="324"/>
      <c r="D267" s="306"/>
      <c r="E267" s="325"/>
    </row>
    <row r="268" spans="1:5" x14ac:dyDescent="0.25">
      <c r="A268" s="309"/>
      <c r="B268" s="324"/>
      <c r="D268" s="306"/>
      <c r="E268" s="325"/>
    </row>
    <row r="269" spans="1:5" x14ac:dyDescent="0.25">
      <c r="A269" s="309"/>
      <c r="B269" s="324"/>
      <c r="D269" s="306"/>
      <c r="E269" s="325"/>
    </row>
    <row r="270" spans="1:5" x14ac:dyDescent="0.25">
      <c r="A270" s="309"/>
      <c r="B270" s="324"/>
      <c r="D270" s="306"/>
      <c r="E270" s="325"/>
    </row>
    <row r="271" spans="1:5" x14ac:dyDescent="0.25">
      <c r="A271" s="309"/>
      <c r="B271" s="324"/>
      <c r="D271" s="306"/>
      <c r="E271" s="325"/>
    </row>
    <row r="272" spans="1:5" x14ac:dyDescent="0.25">
      <c r="A272" s="309"/>
      <c r="B272" s="324"/>
      <c r="D272" s="306"/>
      <c r="E272" s="325"/>
    </row>
    <row r="273" spans="1:5" x14ac:dyDescent="0.25">
      <c r="A273" s="309"/>
      <c r="B273" s="324"/>
      <c r="D273" s="306"/>
      <c r="E273" s="325"/>
    </row>
    <row r="274" spans="1:5" x14ac:dyDescent="0.25">
      <c r="A274" s="309"/>
      <c r="B274" s="324"/>
      <c r="D274" s="306"/>
      <c r="E274" s="325"/>
    </row>
    <row r="275" spans="1:5" x14ac:dyDescent="0.25">
      <c r="A275" s="309"/>
      <c r="B275" s="324"/>
      <c r="D275" s="306"/>
      <c r="E275" s="325"/>
    </row>
    <row r="276" spans="1:5" x14ac:dyDescent="0.25">
      <c r="A276" s="309"/>
      <c r="B276" s="324"/>
      <c r="D276" s="306"/>
      <c r="E276" s="325"/>
    </row>
    <row r="277" spans="1:5" x14ac:dyDescent="0.25">
      <c r="A277" s="309"/>
      <c r="B277" s="324"/>
      <c r="D277" s="306"/>
      <c r="E277" s="325"/>
    </row>
    <row r="278" spans="1:5" x14ac:dyDescent="0.25">
      <c r="A278" s="309"/>
      <c r="B278" s="324"/>
      <c r="D278" s="306"/>
      <c r="E278" s="325"/>
    </row>
    <row r="279" spans="1:5" x14ac:dyDescent="0.25">
      <c r="A279" s="309"/>
      <c r="B279" s="324"/>
      <c r="D279" s="306"/>
      <c r="E279" s="325"/>
    </row>
    <row r="280" spans="1:5" x14ac:dyDescent="0.25">
      <c r="A280" s="309"/>
      <c r="B280" s="324"/>
      <c r="D280" s="306"/>
      <c r="E280" s="325"/>
    </row>
    <row r="281" spans="1:5" x14ac:dyDescent="0.25">
      <c r="A281" s="309"/>
      <c r="B281" s="324"/>
      <c r="D281" s="306"/>
    </row>
    <row r="282" spans="1:5" x14ac:dyDescent="0.25">
      <c r="A282" s="309"/>
      <c r="B282" s="324"/>
      <c r="D282" s="306"/>
    </row>
    <row r="283" spans="1:5" x14ac:dyDescent="0.25">
      <c r="A283" s="309"/>
      <c r="B283" s="324"/>
      <c r="D283" s="306"/>
    </row>
    <row r="284" spans="1:5" x14ac:dyDescent="0.25">
      <c r="A284" s="309"/>
      <c r="B284" s="324"/>
      <c r="D284" s="306"/>
    </row>
    <row r="285" spans="1:5" x14ac:dyDescent="0.25">
      <c r="A285" s="309"/>
      <c r="B285" s="324"/>
      <c r="D285" s="306"/>
    </row>
    <row r="286" spans="1:5" x14ac:dyDescent="0.25">
      <c r="A286" s="309"/>
      <c r="B286" s="324"/>
      <c r="D286" s="306"/>
    </row>
    <row r="287" spans="1:5" x14ac:dyDescent="0.25">
      <c r="A287" s="309"/>
      <c r="B287" s="324"/>
      <c r="D287" s="306"/>
    </row>
    <row r="288" spans="1:5" x14ac:dyDescent="0.25">
      <c r="A288" s="309"/>
      <c r="B288" s="324"/>
      <c r="D288" s="306"/>
    </row>
    <row r="289" spans="1:4" x14ac:dyDescent="0.25">
      <c r="A289" s="309"/>
      <c r="B289" s="324"/>
      <c r="D289" s="306"/>
    </row>
    <row r="290" spans="1:4" x14ac:dyDescent="0.25">
      <c r="B290" s="324"/>
      <c r="D290" s="306"/>
    </row>
    <row r="291" spans="1:4" x14ac:dyDescent="0.25">
      <c r="B291" s="324"/>
      <c r="D291" s="306"/>
    </row>
    <row r="292" spans="1:4" x14ac:dyDescent="0.25">
      <c r="D292" s="306"/>
    </row>
  </sheetData>
  <mergeCells count="18">
    <mergeCell ref="M1:O1"/>
    <mergeCell ref="M2:O2"/>
    <mergeCell ref="M3:O3"/>
    <mergeCell ref="M4:O4"/>
    <mergeCell ref="A5:O5"/>
    <mergeCell ref="O15:O16"/>
    <mergeCell ref="N15:N17"/>
    <mergeCell ref="D15:M15"/>
    <mergeCell ref="L16:M16"/>
    <mergeCell ref="K16:K17"/>
    <mergeCell ref="I16:J16"/>
    <mergeCell ref="H16:H17"/>
    <mergeCell ref="F16:G16"/>
    <mergeCell ref="C15:C17"/>
    <mergeCell ref="B15:B17"/>
    <mergeCell ref="A15:A17"/>
    <mergeCell ref="E16:E17"/>
    <mergeCell ref="D16:D17"/>
  </mergeCells>
  <phoneticPr fontId="17" type="noConversion"/>
  <hyperlinks>
    <hyperlink ref="E10" r:id="rId1"/>
  </hyperlinks>
  <pageMargins left="0" right="0" top="0.19685039370078741" bottom="0.19685039370078741" header="0.31496062992125984" footer="0.31496062992125984"/>
  <pageSetup paperSize="9" scale="61" fitToHeight="0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Z392"/>
  <sheetViews>
    <sheetView workbookViewId="0">
      <pane xSplit="4" ySplit="19" topLeftCell="E20" activePane="bottomRight" state="frozen"/>
      <selection pane="topRight" activeCell="E1" sqref="E1"/>
      <selection pane="bottomLeft" activeCell="A20" sqref="A20"/>
      <selection pane="bottomRight" activeCell="K147" sqref="K147"/>
    </sheetView>
  </sheetViews>
  <sheetFormatPr defaultRowHeight="15" x14ac:dyDescent="0.25"/>
  <cols>
    <col min="1" max="1" width="8.5703125" style="3" customWidth="1"/>
    <col min="2" max="2" width="8.5703125" style="116" customWidth="1"/>
    <col min="3" max="3" width="8.5703125" style="117" customWidth="1"/>
    <col min="4" max="4" width="26.85546875" style="1" customWidth="1"/>
    <col min="5" max="5" width="12.7109375" style="2" customWidth="1"/>
    <col min="6" max="6" width="13.5703125" style="2" customWidth="1"/>
    <col min="7" max="7" width="11.85546875" style="1" customWidth="1"/>
    <col min="8" max="8" width="12.28515625" style="2" customWidth="1"/>
    <col min="9" max="9" width="12.85546875" style="145" customWidth="1"/>
    <col min="10" max="10" width="13.85546875" style="1" customWidth="1"/>
    <col min="11" max="11" width="14.140625" style="1" customWidth="1"/>
    <col min="12" max="12" width="18.85546875" style="1" customWidth="1"/>
    <col min="13" max="13" width="14.42578125" style="1" customWidth="1"/>
    <col min="14" max="14" width="14.140625" style="1" customWidth="1"/>
    <col min="15" max="15" width="12" style="1" customWidth="1"/>
    <col min="16" max="16" width="10.28515625" style="1" customWidth="1"/>
    <col min="17" max="17" width="13.85546875" style="1" customWidth="1"/>
    <col min="18" max="18" width="10.28515625" style="1" customWidth="1"/>
    <col min="19" max="19" width="11.5703125" style="1" customWidth="1"/>
    <col min="20" max="20" width="10.28515625" style="1" customWidth="1"/>
    <col min="21" max="21" width="11.7109375" style="1" customWidth="1"/>
    <col min="22" max="22" width="10.28515625" style="1" customWidth="1"/>
    <col min="23" max="23" width="13" style="1" customWidth="1"/>
    <col min="24" max="24" width="43.5703125" style="1" customWidth="1"/>
    <col min="25" max="25" width="13.42578125" style="1" customWidth="1"/>
    <col min="26" max="26" width="14.7109375" style="1" customWidth="1"/>
    <col min="27" max="16384" width="9.140625" style="1"/>
  </cols>
  <sheetData>
    <row r="1" spans="1:24" hidden="1" x14ac:dyDescent="0.25">
      <c r="M1" s="371" t="s">
        <v>367</v>
      </c>
      <c r="N1" s="371"/>
      <c r="O1" s="371"/>
    </row>
    <row r="2" spans="1:24" hidden="1" x14ac:dyDescent="0.25">
      <c r="M2" s="371" t="s">
        <v>364</v>
      </c>
      <c r="N2" s="371"/>
      <c r="O2" s="371"/>
    </row>
    <row r="3" spans="1:24" hidden="1" x14ac:dyDescent="0.25">
      <c r="M3" s="371" t="s">
        <v>365</v>
      </c>
      <c r="N3" s="371"/>
      <c r="O3" s="371"/>
    </row>
    <row r="4" spans="1:24" hidden="1" x14ac:dyDescent="0.25">
      <c r="M4" s="371" t="s">
        <v>366</v>
      </c>
      <c r="N4" s="371"/>
      <c r="O4" s="371"/>
    </row>
    <row r="5" spans="1:24" ht="16.5" hidden="1" x14ac:dyDescent="0.25">
      <c r="A5" s="373" t="s">
        <v>563</v>
      </c>
      <c r="B5" s="373"/>
      <c r="C5" s="373"/>
      <c r="D5" s="373"/>
      <c r="E5" s="373"/>
      <c r="F5" s="373"/>
      <c r="G5" s="373"/>
      <c r="H5" s="373"/>
      <c r="I5" s="373"/>
      <c r="J5" s="373"/>
      <c r="K5" s="373"/>
      <c r="L5" s="373"/>
      <c r="M5" s="373"/>
      <c r="N5" s="373"/>
      <c r="O5" s="373"/>
    </row>
    <row r="6" spans="1:24" ht="12.75" hidden="1" x14ac:dyDescent="0.2">
      <c r="A6" s="89"/>
      <c r="B6" s="120"/>
      <c r="C6" s="121"/>
      <c r="D6" s="89"/>
      <c r="E6" s="112"/>
      <c r="F6" s="112"/>
      <c r="G6" s="89"/>
      <c r="H6" s="112"/>
      <c r="I6" s="148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</row>
    <row r="7" spans="1:24" ht="15.75" hidden="1" x14ac:dyDescent="0.25">
      <c r="A7" s="94" t="s">
        <v>373</v>
      </c>
      <c r="B7" s="122"/>
      <c r="C7" s="123"/>
      <c r="D7" s="94" t="s">
        <v>483</v>
      </c>
      <c r="E7" s="113"/>
      <c r="F7" s="113"/>
      <c r="G7" s="94"/>
      <c r="H7" s="113"/>
      <c r="I7" s="149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</row>
    <row r="8" spans="1:24" ht="15.75" hidden="1" x14ac:dyDescent="0.25">
      <c r="A8" s="94" t="s">
        <v>374</v>
      </c>
      <c r="B8" s="122"/>
      <c r="C8" s="123"/>
      <c r="D8" s="94" t="s">
        <v>484</v>
      </c>
      <c r="E8" s="113"/>
      <c r="F8" s="113"/>
      <c r="G8" s="94"/>
      <c r="H8" s="113"/>
      <c r="I8" s="149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</row>
    <row r="9" spans="1:24" ht="15.75" hidden="1" x14ac:dyDescent="0.25">
      <c r="A9" s="94" t="s">
        <v>375</v>
      </c>
      <c r="B9" s="122"/>
      <c r="C9" s="123"/>
      <c r="D9" s="94" t="s">
        <v>485</v>
      </c>
      <c r="E9" s="113"/>
      <c r="F9" s="113"/>
      <c r="G9" s="94"/>
      <c r="H9" s="113"/>
      <c r="I9" s="149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</row>
    <row r="10" spans="1:24" ht="15.75" hidden="1" x14ac:dyDescent="0.25">
      <c r="A10" s="94" t="s">
        <v>376</v>
      </c>
      <c r="B10" s="122"/>
      <c r="C10" s="123"/>
      <c r="D10" s="94" t="s">
        <v>486</v>
      </c>
      <c r="E10" s="113"/>
      <c r="F10" s="113"/>
      <c r="G10" s="94"/>
      <c r="H10" s="113"/>
      <c r="I10" s="149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</row>
    <row r="11" spans="1:24" ht="15.75" hidden="1" x14ac:dyDescent="0.25">
      <c r="A11" s="94" t="s">
        <v>377</v>
      </c>
      <c r="B11" s="122"/>
      <c r="C11" s="123"/>
      <c r="D11" s="236">
        <v>1435162270</v>
      </c>
      <c r="E11" s="113"/>
      <c r="F11" s="113"/>
      <c r="G11" s="94"/>
      <c r="H11" s="113"/>
      <c r="I11" s="149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</row>
    <row r="12" spans="1:24" ht="15.75" hidden="1" x14ac:dyDescent="0.25">
      <c r="A12" s="94" t="s">
        <v>378</v>
      </c>
      <c r="B12" s="122"/>
      <c r="C12" s="123"/>
      <c r="D12" s="236">
        <v>143501001</v>
      </c>
      <c r="E12" s="113"/>
      <c r="F12" s="113"/>
      <c r="G12" s="94"/>
      <c r="H12" s="113"/>
      <c r="I12" s="149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</row>
    <row r="13" spans="1:24" ht="15.75" hidden="1" x14ac:dyDescent="0.25">
      <c r="A13" s="94" t="s">
        <v>379</v>
      </c>
      <c r="B13" s="122"/>
      <c r="C13" s="123"/>
      <c r="D13" s="236">
        <v>98401</v>
      </c>
      <c r="E13" s="113"/>
      <c r="F13" s="113"/>
      <c r="G13" s="94"/>
      <c r="H13" s="113"/>
      <c r="I13" s="149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</row>
    <row r="14" spans="1:24" hidden="1" x14ac:dyDescent="0.25">
      <c r="J14" s="86"/>
      <c r="K14" s="86"/>
      <c r="L14" s="86"/>
    </row>
    <row r="15" spans="1:24" ht="15.75" hidden="1" x14ac:dyDescent="0.25">
      <c r="D15" s="253" t="s">
        <v>505</v>
      </c>
      <c r="J15" s="86"/>
      <c r="K15" s="86"/>
      <c r="L15" s="86"/>
    </row>
    <row r="16" spans="1:24" s="141" customFormat="1" ht="12.75" hidden="1" x14ac:dyDescent="0.2">
      <c r="A16" s="369" t="s">
        <v>380</v>
      </c>
      <c r="B16" s="369" t="s">
        <v>381</v>
      </c>
      <c r="C16" s="369" t="s">
        <v>382</v>
      </c>
      <c r="D16" s="372" t="s">
        <v>383</v>
      </c>
      <c r="E16" s="372"/>
      <c r="F16" s="372"/>
      <c r="G16" s="372"/>
      <c r="H16" s="372"/>
      <c r="I16" s="372"/>
      <c r="J16" s="372"/>
      <c r="K16" s="372"/>
      <c r="L16" s="372"/>
      <c r="M16" s="372"/>
      <c r="N16" s="372" t="s">
        <v>384</v>
      </c>
      <c r="O16" s="372" t="s">
        <v>385</v>
      </c>
      <c r="P16" s="370" t="s">
        <v>7</v>
      </c>
      <c r="Q16" s="370"/>
      <c r="R16" s="370" t="s">
        <v>8</v>
      </c>
      <c r="S16" s="370"/>
      <c r="T16" s="370" t="s">
        <v>9</v>
      </c>
      <c r="U16" s="370"/>
      <c r="V16" s="370" t="s">
        <v>10</v>
      </c>
      <c r="W16" s="370"/>
      <c r="X16" s="366" t="s">
        <v>11</v>
      </c>
    </row>
    <row r="17" spans="1:26" s="141" customFormat="1" ht="24" hidden="1" customHeight="1" x14ac:dyDescent="0.2">
      <c r="A17" s="374"/>
      <c r="B17" s="369"/>
      <c r="C17" s="369"/>
      <c r="D17" s="372" t="s">
        <v>386</v>
      </c>
      <c r="E17" s="372" t="s">
        <v>387</v>
      </c>
      <c r="F17" s="372" t="s">
        <v>12</v>
      </c>
      <c r="G17" s="372"/>
      <c r="H17" s="372" t="s">
        <v>388</v>
      </c>
      <c r="I17" s="372" t="s">
        <v>389</v>
      </c>
      <c r="J17" s="372"/>
      <c r="K17" s="372" t="s">
        <v>495</v>
      </c>
      <c r="L17" s="372" t="s">
        <v>391</v>
      </c>
      <c r="M17" s="372"/>
      <c r="N17" s="372"/>
      <c r="O17" s="372"/>
      <c r="P17" s="369" t="s">
        <v>13</v>
      </c>
      <c r="Q17" s="369" t="s">
        <v>14</v>
      </c>
      <c r="R17" s="369" t="s">
        <v>13</v>
      </c>
      <c r="S17" s="369" t="s">
        <v>15</v>
      </c>
      <c r="T17" s="369" t="s">
        <v>13</v>
      </c>
      <c r="U17" s="369" t="s">
        <v>15</v>
      </c>
      <c r="V17" s="369" t="s">
        <v>13</v>
      </c>
      <c r="W17" s="369" t="s">
        <v>15</v>
      </c>
      <c r="X17" s="367"/>
    </row>
    <row r="18" spans="1:26" s="141" customFormat="1" ht="60" x14ac:dyDescent="0.2">
      <c r="A18" s="374"/>
      <c r="B18" s="369"/>
      <c r="C18" s="369"/>
      <c r="D18" s="372"/>
      <c r="E18" s="372"/>
      <c r="F18" s="101" t="s">
        <v>392</v>
      </c>
      <c r="G18" s="101" t="s">
        <v>393</v>
      </c>
      <c r="H18" s="372"/>
      <c r="I18" s="142" t="s">
        <v>394</v>
      </c>
      <c r="J18" s="101" t="s">
        <v>393</v>
      </c>
      <c r="K18" s="372"/>
      <c r="L18" s="101" t="s">
        <v>395</v>
      </c>
      <c r="M18" s="101" t="s">
        <v>396</v>
      </c>
      <c r="N18" s="372"/>
      <c r="O18" s="101" t="s">
        <v>397</v>
      </c>
      <c r="P18" s="369"/>
      <c r="Q18" s="369"/>
      <c r="R18" s="369"/>
      <c r="S18" s="369"/>
      <c r="T18" s="369"/>
      <c r="U18" s="369"/>
      <c r="V18" s="369"/>
      <c r="W18" s="369"/>
      <c r="X18" s="368"/>
    </row>
    <row r="19" spans="1:26" ht="12.75" x14ac:dyDescent="0.2">
      <c r="A19" s="235" t="s">
        <v>398</v>
      </c>
      <c r="B19" s="124" t="s">
        <v>399</v>
      </c>
      <c r="C19" s="124" t="s">
        <v>400</v>
      </c>
      <c r="D19" s="102">
        <v>4</v>
      </c>
      <c r="E19" s="102">
        <v>5</v>
      </c>
      <c r="F19" s="102">
        <v>6</v>
      </c>
      <c r="G19" s="102">
        <v>7</v>
      </c>
      <c r="H19" s="102">
        <v>8</v>
      </c>
      <c r="I19" s="143">
        <v>9</v>
      </c>
      <c r="J19" s="102">
        <v>10</v>
      </c>
      <c r="K19" s="102">
        <v>11</v>
      </c>
      <c r="L19" s="102">
        <v>12</v>
      </c>
      <c r="M19" s="102">
        <v>13</v>
      </c>
      <c r="N19" s="102">
        <v>14</v>
      </c>
      <c r="O19" s="102">
        <v>15</v>
      </c>
      <c r="P19" s="102">
        <v>16</v>
      </c>
      <c r="Q19" s="102">
        <v>17</v>
      </c>
      <c r="R19" s="102">
        <v>18</v>
      </c>
      <c r="S19" s="102">
        <v>19</v>
      </c>
      <c r="T19" s="102">
        <v>20</v>
      </c>
      <c r="U19" s="102">
        <v>21</v>
      </c>
      <c r="V19" s="102">
        <v>22</v>
      </c>
      <c r="W19" s="102">
        <v>23</v>
      </c>
      <c r="X19" s="102">
        <v>24</v>
      </c>
    </row>
    <row r="20" spans="1:26" s="230" customFormat="1" ht="38.25" hidden="1" x14ac:dyDescent="0.2">
      <c r="A20" s="156" t="s">
        <v>398</v>
      </c>
      <c r="B20" s="156"/>
      <c r="C20" s="157"/>
      <c r="D20" s="281" t="s">
        <v>451</v>
      </c>
      <c r="E20" s="282"/>
      <c r="F20" s="282"/>
      <c r="G20" s="279"/>
      <c r="H20" s="279"/>
      <c r="I20" s="283"/>
      <c r="J20" s="279"/>
      <c r="K20" s="244">
        <f>SUM(K21:K22)</f>
        <v>3566770</v>
      </c>
      <c r="L20" s="244"/>
      <c r="M20" s="244"/>
      <c r="N20" s="244"/>
      <c r="O20" s="279"/>
      <c r="P20" s="244"/>
      <c r="Q20" s="244">
        <f t="shared" ref="Q20:W20" si="0">SUM(Q21:Q22)</f>
        <v>3566770</v>
      </c>
      <c r="R20" s="244">
        <f t="shared" si="0"/>
        <v>0</v>
      </c>
      <c r="S20" s="244">
        <f t="shared" si="0"/>
        <v>0</v>
      </c>
      <c r="T20" s="244">
        <f t="shared" si="0"/>
        <v>0</v>
      </c>
      <c r="U20" s="244">
        <f t="shared" si="0"/>
        <v>0</v>
      </c>
      <c r="V20" s="244">
        <f t="shared" si="0"/>
        <v>0</v>
      </c>
      <c r="W20" s="244">
        <f t="shared" si="0"/>
        <v>0</v>
      </c>
      <c r="X20" s="284"/>
      <c r="Y20" s="237">
        <f t="shared" ref="Y20:Y82" si="1">H20-P20-R20-T20-V20</f>
        <v>0</v>
      </c>
      <c r="Z20" s="237">
        <f t="shared" ref="Z20:Z35" si="2">K20-Q20-S20-U20-W20</f>
        <v>0</v>
      </c>
    </row>
    <row r="21" spans="1:26" s="141" customFormat="1" ht="51" hidden="1" x14ac:dyDescent="0.2">
      <c r="A21" s="165" t="s">
        <v>453</v>
      </c>
      <c r="B21" s="165" t="s">
        <v>401</v>
      </c>
      <c r="C21" s="110">
        <v>6210010</v>
      </c>
      <c r="D21" s="285" t="s">
        <v>16</v>
      </c>
      <c r="E21" s="286"/>
      <c r="F21" s="110">
        <v>421</v>
      </c>
      <c r="G21" s="287" t="s">
        <v>458</v>
      </c>
      <c r="H21" s="248">
        <v>94</v>
      </c>
      <c r="I21" s="151">
        <v>98</v>
      </c>
      <c r="J21" s="287" t="s">
        <v>564</v>
      </c>
      <c r="K21" s="249">
        <v>1206590</v>
      </c>
      <c r="L21" s="245" t="s">
        <v>7</v>
      </c>
      <c r="M21" s="245">
        <v>41244</v>
      </c>
      <c r="N21" s="249" t="s">
        <v>556</v>
      </c>
      <c r="O21" s="287" t="s">
        <v>557</v>
      </c>
      <c r="P21" s="249">
        <v>94</v>
      </c>
      <c r="Q21" s="249">
        <v>1206590</v>
      </c>
      <c r="R21" s="249"/>
      <c r="S21" s="249"/>
      <c r="T21" s="249"/>
      <c r="U21" s="249"/>
      <c r="V21" s="249"/>
      <c r="W21" s="249"/>
      <c r="X21" s="288"/>
      <c r="Y21" s="237">
        <f t="shared" si="1"/>
        <v>0</v>
      </c>
      <c r="Z21" s="237">
        <f t="shared" si="2"/>
        <v>0</v>
      </c>
    </row>
    <row r="22" spans="1:26" s="141" customFormat="1" ht="63.75" hidden="1" x14ac:dyDescent="0.2">
      <c r="A22" s="165" t="s">
        <v>452</v>
      </c>
      <c r="B22" s="165" t="s">
        <v>401</v>
      </c>
      <c r="C22" s="110">
        <v>6210010</v>
      </c>
      <c r="D22" s="285" t="s">
        <v>19</v>
      </c>
      <c r="E22" s="286"/>
      <c r="F22" s="110">
        <v>421</v>
      </c>
      <c r="G22" s="287" t="s">
        <v>458</v>
      </c>
      <c r="H22" s="287">
        <v>145</v>
      </c>
      <c r="I22" s="151">
        <v>98</v>
      </c>
      <c r="J22" s="287" t="s">
        <v>564</v>
      </c>
      <c r="K22" s="249">
        <v>2360180</v>
      </c>
      <c r="L22" s="245" t="s">
        <v>7</v>
      </c>
      <c r="M22" s="245">
        <v>41244</v>
      </c>
      <c r="N22" s="249" t="s">
        <v>556</v>
      </c>
      <c r="O22" s="287" t="s">
        <v>557</v>
      </c>
      <c r="P22" s="249">
        <v>145</v>
      </c>
      <c r="Q22" s="249">
        <v>2360180</v>
      </c>
      <c r="R22" s="249"/>
      <c r="S22" s="249"/>
      <c r="T22" s="249"/>
      <c r="U22" s="249"/>
      <c r="V22" s="249"/>
      <c r="W22" s="249"/>
      <c r="X22" s="288"/>
      <c r="Y22" s="237">
        <f t="shared" si="1"/>
        <v>0</v>
      </c>
      <c r="Z22" s="237">
        <f t="shared" si="2"/>
        <v>0</v>
      </c>
    </row>
    <row r="23" spans="1:26" s="230" customFormat="1" ht="25.5" hidden="1" x14ac:dyDescent="0.2">
      <c r="A23" s="156" t="s">
        <v>399</v>
      </c>
      <c r="B23" s="156"/>
      <c r="C23" s="157"/>
      <c r="D23" s="281" t="s">
        <v>20</v>
      </c>
      <c r="E23" s="282"/>
      <c r="F23" s="282"/>
      <c r="G23" s="279"/>
      <c r="H23" s="279"/>
      <c r="I23" s="283"/>
      <c r="J23" s="279"/>
      <c r="K23" s="244">
        <f>SUM(K24:K24)</f>
        <v>753947</v>
      </c>
      <c r="L23" s="244"/>
      <c r="M23" s="244"/>
      <c r="N23" s="244"/>
      <c r="O23" s="279"/>
      <c r="P23" s="244"/>
      <c r="Q23" s="244">
        <f t="shared" ref="Q23:W23" si="3">SUM(Q24:Q24)</f>
        <v>753947</v>
      </c>
      <c r="R23" s="244"/>
      <c r="S23" s="244">
        <f t="shared" si="3"/>
        <v>0</v>
      </c>
      <c r="T23" s="244">
        <f t="shared" si="3"/>
        <v>0</v>
      </c>
      <c r="U23" s="244">
        <f t="shared" si="3"/>
        <v>0</v>
      </c>
      <c r="V23" s="244">
        <f t="shared" si="3"/>
        <v>0</v>
      </c>
      <c r="W23" s="244">
        <f t="shared" si="3"/>
        <v>0</v>
      </c>
      <c r="X23" s="284"/>
      <c r="Y23" s="237">
        <f t="shared" si="1"/>
        <v>0</v>
      </c>
      <c r="Z23" s="237">
        <f t="shared" si="2"/>
        <v>0</v>
      </c>
    </row>
    <row r="24" spans="1:26" s="141" customFormat="1" ht="51" hidden="1" x14ac:dyDescent="0.2">
      <c r="A24" s="165" t="s">
        <v>517</v>
      </c>
      <c r="B24" s="165" t="s">
        <v>413</v>
      </c>
      <c r="C24" s="110">
        <v>7241000</v>
      </c>
      <c r="D24" s="285" t="s">
        <v>567</v>
      </c>
      <c r="E24" s="286"/>
      <c r="F24" s="110">
        <v>362</v>
      </c>
      <c r="G24" s="287" t="s">
        <v>22</v>
      </c>
      <c r="H24" s="287">
        <v>12</v>
      </c>
      <c r="I24" s="151">
        <v>98</v>
      </c>
      <c r="J24" s="287" t="s">
        <v>564</v>
      </c>
      <c r="K24" s="249">
        <f>Q24</f>
        <v>753947</v>
      </c>
      <c r="L24" s="245" t="s">
        <v>7</v>
      </c>
      <c r="M24" s="245">
        <v>41244</v>
      </c>
      <c r="N24" s="249" t="s">
        <v>504</v>
      </c>
      <c r="O24" s="287"/>
      <c r="P24" s="249">
        <v>12</v>
      </c>
      <c r="Q24" s="249">
        <v>753947</v>
      </c>
      <c r="R24" s="249"/>
      <c r="S24" s="249"/>
      <c r="T24" s="249"/>
      <c r="U24" s="249"/>
      <c r="V24" s="249"/>
      <c r="W24" s="249"/>
      <c r="X24" s="288"/>
      <c r="Y24" s="237">
        <f t="shared" si="1"/>
        <v>0</v>
      </c>
      <c r="Z24" s="237">
        <f t="shared" si="2"/>
        <v>0</v>
      </c>
    </row>
    <row r="25" spans="1:26" s="141" customFormat="1" ht="38.25" x14ac:dyDescent="0.2">
      <c r="A25" s="165" t="s">
        <v>566</v>
      </c>
      <c r="B25" s="165" t="s">
        <v>413</v>
      </c>
      <c r="C25" s="110">
        <v>7241000</v>
      </c>
      <c r="D25" s="285" t="s">
        <v>568</v>
      </c>
      <c r="E25" s="286"/>
      <c r="F25" s="110">
        <v>362</v>
      </c>
      <c r="G25" s="287" t="s">
        <v>22</v>
      </c>
      <c r="H25" s="287">
        <v>9</v>
      </c>
      <c r="I25" s="151">
        <v>98401</v>
      </c>
      <c r="J25" s="287" t="s">
        <v>429</v>
      </c>
      <c r="K25" s="249">
        <f>S25</f>
        <v>16669</v>
      </c>
      <c r="L25" s="245" t="s">
        <v>8</v>
      </c>
      <c r="M25" s="245">
        <v>41244</v>
      </c>
      <c r="N25" s="249" t="s">
        <v>504</v>
      </c>
      <c r="O25" s="287"/>
      <c r="P25" s="249"/>
      <c r="Q25" s="249"/>
      <c r="R25" s="249">
        <v>9</v>
      </c>
      <c r="S25" s="249">
        <v>16669</v>
      </c>
      <c r="T25" s="249"/>
      <c r="U25" s="249"/>
      <c r="V25" s="249"/>
      <c r="W25" s="249"/>
      <c r="X25" s="288"/>
      <c r="Y25" s="237"/>
      <c r="Z25" s="237"/>
    </row>
    <row r="26" spans="1:26" s="230" customFormat="1" ht="12.75" hidden="1" x14ac:dyDescent="0.2">
      <c r="A26" s="156">
        <v>4</v>
      </c>
      <c r="B26" s="156"/>
      <c r="C26" s="157"/>
      <c r="D26" s="281" t="s">
        <v>494</v>
      </c>
      <c r="E26" s="282"/>
      <c r="F26" s="282"/>
      <c r="G26" s="279"/>
      <c r="H26" s="279"/>
      <c r="I26" s="283"/>
      <c r="J26" s="279"/>
      <c r="K26" s="244">
        <f>SUM(K27:K32)</f>
        <v>1987455</v>
      </c>
      <c r="L26" s="244"/>
      <c r="M26" s="244"/>
      <c r="N26" s="244"/>
      <c r="O26" s="279"/>
      <c r="P26" s="244"/>
      <c r="Q26" s="244">
        <f t="shared" ref="Q26:W26" si="4">SUM(Q27:Q32)</f>
        <v>1987455</v>
      </c>
      <c r="R26" s="244">
        <f t="shared" si="4"/>
        <v>0</v>
      </c>
      <c r="S26" s="244">
        <f t="shared" si="4"/>
        <v>0</v>
      </c>
      <c r="T26" s="244">
        <f t="shared" si="4"/>
        <v>0</v>
      </c>
      <c r="U26" s="244">
        <f t="shared" si="4"/>
        <v>0</v>
      </c>
      <c r="V26" s="244">
        <f t="shared" si="4"/>
        <v>0</v>
      </c>
      <c r="W26" s="244">
        <f t="shared" si="4"/>
        <v>0</v>
      </c>
      <c r="X26" s="284"/>
      <c r="Y26" s="237">
        <f t="shared" si="1"/>
        <v>0</v>
      </c>
      <c r="Z26" s="240">
        <f t="shared" si="2"/>
        <v>0</v>
      </c>
    </row>
    <row r="27" spans="1:26" s="141" customFormat="1" ht="25.5" hidden="1" x14ac:dyDescent="0.2">
      <c r="A27" s="165" t="s">
        <v>518</v>
      </c>
      <c r="B27" s="165" t="s">
        <v>403</v>
      </c>
      <c r="C27" s="110">
        <v>7492060</v>
      </c>
      <c r="D27" s="289" t="s">
        <v>32</v>
      </c>
      <c r="E27" s="286"/>
      <c r="F27" s="110">
        <v>362</v>
      </c>
      <c r="G27" s="287" t="s">
        <v>22</v>
      </c>
      <c r="H27" s="287">
        <v>12</v>
      </c>
      <c r="I27" s="151">
        <v>98218501</v>
      </c>
      <c r="J27" s="290" t="s">
        <v>434</v>
      </c>
      <c r="K27" s="249">
        <v>112230</v>
      </c>
      <c r="L27" s="245" t="s">
        <v>7</v>
      </c>
      <c r="M27" s="245">
        <v>41244</v>
      </c>
      <c r="N27" s="249"/>
      <c r="O27" s="287"/>
      <c r="P27" s="249">
        <v>12</v>
      </c>
      <c r="Q27" s="249">
        <v>112230</v>
      </c>
      <c r="R27" s="249"/>
      <c r="S27" s="249"/>
      <c r="T27" s="249"/>
      <c r="U27" s="249"/>
      <c r="V27" s="249"/>
      <c r="W27" s="249"/>
      <c r="X27" s="288"/>
      <c r="Y27" s="237">
        <f t="shared" si="1"/>
        <v>0</v>
      </c>
      <c r="Z27" s="237">
        <f t="shared" si="2"/>
        <v>0</v>
      </c>
    </row>
    <row r="28" spans="1:26" s="141" customFormat="1" ht="25.5" hidden="1" x14ac:dyDescent="0.2">
      <c r="A28" s="165" t="s">
        <v>519</v>
      </c>
      <c r="B28" s="165" t="s">
        <v>403</v>
      </c>
      <c r="C28" s="110">
        <v>7492060</v>
      </c>
      <c r="D28" s="285" t="s">
        <v>33</v>
      </c>
      <c r="E28" s="110"/>
      <c r="F28" s="110">
        <v>362</v>
      </c>
      <c r="G28" s="287" t="s">
        <v>22</v>
      </c>
      <c r="H28" s="290">
        <v>12</v>
      </c>
      <c r="I28" s="151">
        <v>98227501</v>
      </c>
      <c r="J28" s="290" t="s">
        <v>430</v>
      </c>
      <c r="K28" s="248">
        <v>240000</v>
      </c>
      <c r="L28" s="245" t="s">
        <v>7</v>
      </c>
      <c r="M28" s="245">
        <v>41244</v>
      </c>
      <c r="N28" s="248"/>
      <c r="O28" s="290"/>
      <c r="P28" s="249">
        <v>12</v>
      </c>
      <c r="Q28" s="249">
        <v>240000</v>
      </c>
      <c r="R28" s="249"/>
      <c r="S28" s="249"/>
      <c r="T28" s="249"/>
      <c r="U28" s="249"/>
      <c r="V28" s="249"/>
      <c r="W28" s="249"/>
      <c r="X28" s="288"/>
      <c r="Y28" s="237">
        <f t="shared" si="1"/>
        <v>0</v>
      </c>
      <c r="Z28" s="237">
        <f t="shared" si="2"/>
        <v>0</v>
      </c>
    </row>
    <row r="29" spans="1:26" s="141" customFormat="1" ht="38.25" hidden="1" x14ac:dyDescent="0.2">
      <c r="A29" s="165" t="s">
        <v>520</v>
      </c>
      <c r="B29" s="165" t="s">
        <v>403</v>
      </c>
      <c r="C29" s="110">
        <v>7492060</v>
      </c>
      <c r="D29" s="285" t="s">
        <v>34</v>
      </c>
      <c r="E29" s="110"/>
      <c r="F29" s="110">
        <v>362</v>
      </c>
      <c r="G29" s="287" t="s">
        <v>22</v>
      </c>
      <c r="H29" s="290">
        <v>12</v>
      </c>
      <c r="I29" s="151">
        <v>98231552</v>
      </c>
      <c r="J29" s="290" t="s">
        <v>432</v>
      </c>
      <c r="K29" s="248">
        <v>130516</v>
      </c>
      <c r="L29" s="245" t="s">
        <v>7</v>
      </c>
      <c r="M29" s="245">
        <v>41244</v>
      </c>
      <c r="N29" s="248"/>
      <c r="O29" s="290"/>
      <c r="P29" s="249">
        <v>12</v>
      </c>
      <c r="Q29" s="249">
        <v>130516</v>
      </c>
      <c r="R29" s="249"/>
      <c r="S29" s="249"/>
      <c r="T29" s="249"/>
      <c r="U29" s="249"/>
      <c r="V29" s="249"/>
      <c r="W29" s="249"/>
      <c r="X29" s="288"/>
      <c r="Y29" s="237">
        <f t="shared" si="1"/>
        <v>0</v>
      </c>
      <c r="Z29" s="237">
        <f t="shared" si="2"/>
        <v>0</v>
      </c>
    </row>
    <row r="30" spans="1:26" s="141" customFormat="1" ht="38.25" hidden="1" x14ac:dyDescent="0.2">
      <c r="A30" s="165" t="s">
        <v>521</v>
      </c>
      <c r="B30" s="165" t="s">
        <v>403</v>
      </c>
      <c r="C30" s="110">
        <v>7492060</v>
      </c>
      <c r="D30" s="285" t="s">
        <v>35</v>
      </c>
      <c r="E30" s="110"/>
      <c r="F30" s="110">
        <v>362</v>
      </c>
      <c r="G30" s="287" t="s">
        <v>22</v>
      </c>
      <c r="H30" s="290">
        <v>12</v>
      </c>
      <c r="I30" s="151">
        <v>98231509</v>
      </c>
      <c r="J30" s="290" t="s">
        <v>443</v>
      </c>
      <c r="K30" s="248">
        <v>124442</v>
      </c>
      <c r="L30" s="245" t="s">
        <v>7</v>
      </c>
      <c r="M30" s="245">
        <v>41244</v>
      </c>
      <c r="N30" s="248"/>
      <c r="O30" s="290"/>
      <c r="P30" s="249">
        <v>12</v>
      </c>
      <c r="Q30" s="249">
        <v>124442</v>
      </c>
      <c r="R30" s="249"/>
      <c r="S30" s="249"/>
      <c r="T30" s="249"/>
      <c r="U30" s="249"/>
      <c r="V30" s="249"/>
      <c r="W30" s="249"/>
      <c r="X30" s="288"/>
      <c r="Y30" s="237">
        <f t="shared" si="1"/>
        <v>0</v>
      </c>
      <c r="Z30" s="237">
        <f t="shared" si="2"/>
        <v>0</v>
      </c>
    </row>
    <row r="31" spans="1:26" s="141" customFormat="1" ht="38.25" hidden="1" x14ac:dyDescent="0.2">
      <c r="A31" s="165" t="s">
        <v>522</v>
      </c>
      <c r="B31" s="165" t="s">
        <v>403</v>
      </c>
      <c r="C31" s="110">
        <v>7492060</v>
      </c>
      <c r="D31" s="285" t="s">
        <v>36</v>
      </c>
      <c r="E31" s="110"/>
      <c r="F31" s="110">
        <v>362</v>
      </c>
      <c r="G31" s="287" t="s">
        <v>22</v>
      </c>
      <c r="H31" s="290">
        <v>12</v>
      </c>
      <c r="I31" s="151">
        <v>98404</v>
      </c>
      <c r="J31" s="290" t="s">
        <v>440</v>
      </c>
      <c r="K31" s="248">
        <f>Q31</f>
        <v>378509</v>
      </c>
      <c r="L31" s="245" t="s">
        <v>7</v>
      </c>
      <c r="M31" s="245">
        <v>41244</v>
      </c>
      <c r="N31" s="248"/>
      <c r="O31" s="290"/>
      <c r="P31" s="249">
        <v>12</v>
      </c>
      <c r="Q31" s="249">
        <v>378509</v>
      </c>
      <c r="R31" s="249"/>
      <c r="S31" s="249"/>
      <c r="T31" s="249"/>
      <c r="U31" s="249"/>
      <c r="V31" s="249"/>
      <c r="W31" s="249"/>
      <c r="X31" s="288"/>
      <c r="Y31" s="237">
        <f t="shared" si="1"/>
        <v>0</v>
      </c>
      <c r="Z31" s="239">
        <f t="shared" si="2"/>
        <v>0</v>
      </c>
    </row>
    <row r="32" spans="1:26" s="141" customFormat="1" ht="25.5" hidden="1" x14ac:dyDescent="0.2">
      <c r="A32" s="165" t="s">
        <v>523</v>
      </c>
      <c r="B32" s="165" t="s">
        <v>403</v>
      </c>
      <c r="C32" s="110">
        <v>7492060</v>
      </c>
      <c r="D32" s="285" t="s">
        <v>38</v>
      </c>
      <c r="E32" s="110"/>
      <c r="F32" s="110">
        <v>362</v>
      </c>
      <c r="G32" s="287" t="s">
        <v>22</v>
      </c>
      <c r="H32" s="290">
        <v>12</v>
      </c>
      <c r="I32" s="151">
        <v>98401</v>
      </c>
      <c r="J32" s="287" t="s">
        <v>429</v>
      </c>
      <c r="K32" s="247">
        <f>Q32</f>
        <v>1001758</v>
      </c>
      <c r="L32" s="245" t="s">
        <v>7</v>
      </c>
      <c r="M32" s="245">
        <v>41244</v>
      </c>
      <c r="N32" s="247"/>
      <c r="O32" s="246"/>
      <c r="P32" s="249">
        <v>12</v>
      </c>
      <c r="Q32" s="249">
        <v>1001758</v>
      </c>
      <c r="R32" s="249"/>
      <c r="S32" s="249"/>
      <c r="T32" s="249"/>
      <c r="U32" s="249"/>
      <c r="V32" s="249"/>
      <c r="W32" s="249"/>
      <c r="X32" s="288"/>
      <c r="Y32" s="237">
        <f t="shared" si="1"/>
        <v>0</v>
      </c>
      <c r="Z32" s="239">
        <f t="shared" si="2"/>
        <v>0</v>
      </c>
    </row>
    <row r="33" spans="1:26" s="230" customFormat="1" ht="25.5" hidden="1" x14ac:dyDescent="0.2">
      <c r="A33" s="156">
        <v>5</v>
      </c>
      <c r="B33" s="156"/>
      <c r="C33" s="157"/>
      <c r="D33" s="281" t="s">
        <v>499</v>
      </c>
      <c r="E33" s="282"/>
      <c r="F33" s="282"/>
      <c r="G33" s="279"/>
      <c r="H33" s="279"/>
      <c r="I33" s="283"/>
      <c r="J33" s="279"/>
      <c r="K33" s="244">
        <f>SUM(K34:K35)</f>
        <v>280000</v>
      </c>
      <c r="L33" s="244"/>
      <c r="M33" s="244"/>
      <c r="N33" s="244"/>
      <c r="O33" s="279"/>
      <c r="P33" s="244">
        <f t="shared" ref="P33:W33" si="5">SUM(P34:P35)</f>
        <v>0</v>
      </c>
      <c r="Q33" s="244">
        <f t="shared" si="5"/>
        <v>0</v>
      </c>
      <c r="R33" s="244">
        <f t="shared" si="5"/>
        <v>0</v>
      </c>
      <c r="S33" s="244">
        <f t="shared" si="5"/>
        <v>0</v>
      </c>
      <c r="T33" s="244">
        <f t="shared" si="5"/>
        <v>0</v>
      </c>
      <c r="U33" s="244">
        <f t="shared" si="5"/>
        <v>0</v>
      </c>
      <c r="V33" s="244">
        <f t="shared" si="5"/>
        <v>0</v>
      </c>
      <c r="W33" s="244">
        <f t="shared" si="5"/>
        <v>280000</v>
      </c>
      <c r="X33" s="284"/>
      <c r="Y33" s="237">
        <f t="shared" si="1"/>
        <v>0</v>
      </c>
      <c r="Z33" s="237">
        <f t="shared" si="2"/>
        <v>0</v>
      </c>
    </row>
    <row r="34" spans="1:26" s="141" customFormat="1" ht="38.25" x14ac:dyDescent="0.2">
      <c r="A34" s="165" t="s">
        <v>524</v>
      </c>
      <c r="B34" s="165" t="s">
        <v>404</v>
      </c>
      <c r="C34" s="110">
        <v>7492050</v>
      </c>
      <c r="D34" s="289" t="s">
        <v>29</v>
      </c>
      <c r="E34" s="291"/>
      <c r="F34" s="110"/>
      <c r="G34" s="287"/>
      <c r="H34" s="290"/>
      <c r="I34" s="151">
        <v>98254551</v>
      </c>
      <c r="J34" s="290" t="s">
        <v>442</v>
      </c>
      <c r="K34" s="247">
        <v>100000</v>
      </c>
      <c r="L34" s="246" t="str">
        <f>IF(Q34&gt;0,"1 квартал 2012",IF(S34&gt;0,"2 квартал 2012",IF(U34&gt;0,"3 квартал 2012","4 квартал 2012")))</f>
        <v>4 квартал 2012</v>
      </c>
      <c r="M34" s="245">
        <v>41244</v>
      </c>
      <c r="N34" s="280" t="s">
        <v>558</v>
      </c>
      <c r="O34" s="246" t="s">
        <v>557</v>
      </c>
      <c r="P34" s="248"/>
      <c r="Q34" s="247"/>
      <c r="R34" s="249"/>
      <c r="S34" s="249"/>
      <c r="T34" s="249"/>
      <c r="U34" s="249"/>
      <c r="V34" s="249"/>
      <c r="W34" s="249">
        <v>100000</v>
      </c>
      <c r="X34" s="288"/>
      <c r="Y34" s="237">
        <f t="shared" si="1"/>
        <v>0</v>
      </c>
      <c r="Z34" s="237">
        <f t="shared" si="2"/>
        <v>0</v>
      </c>
    </row>
    <row r="35" spans="1:26" s="141" customFormat="1" ht="25.5" hidden="1" x14ac:dyDescent="0.2">
      <c r="A35" s="165" t="s">
        <v>525</v>
      </c>
      <c r="B35" s="165" t="s">
        <v>404</v>
      </c>
      <c r="C35" s="110">
        <v>7492050</v>
      </c>
      <c r="D35" s="285" t="s">
        <v>559</v>
      </c>
      <c r="E35" s="291"/>
      <c r="F35" s="110"/>
      <c r="G35" s="287"/>
      <c r="H35" s="290"/>
      <c r="I35" s="151">
        <v>98227501</v>
      </c>
      <c r="J35" s="290" t="s">
        <v>430</v>
      </c>
      <c r="K35" s="247">
        <v>180000</v>
      </c>
      <c r="L35" s="246" t="str">
        <f>IF(Q35&gt;0,"1 квартал 2012",IF(S35&gt;0,"2 квартал 2012",IF(U35&gt;0,"3 квартал 2012","4 квартал 2012")))</f>
        <v>4 квартал 2012</v>
      </c>
      <c r="M35" s="245">
        <v>41244</v>
      </c>
      <c r="N35" s="280" t="s">
        <v>558</v>
      </c>
      <c r="O35" s="246" t="s">
        <v>557</v>
      </c>
      <c r="P35" s="248"/>
      <c r="Q35" s="247"/>
      <c r="R35" s="249"/>
      <c r="S35" s="249"/>
      <c r="T35" s="249"/>
      <c r="U35" s="249"/>
      <c r="V35" s="249"/>
      <c r="W35" s="249">
        <v>180000</v>
      </c>
      <c r="X35" s="288"/>
      <c r="Y35" s="237">
        <f t="shared" si="1"/>
        <v>0</v>
      </c>
      <c r="Z35" s="237">
        <f t="shared" si="2"/>
        <v>0</v>
      </c>
    </row>
    <row r="36" spans="1:26" s="230" customFormat="1" ht="25.5" hidden="1" x14ac:dyDescent="0.2">
      <c r="A36" s="156">
        <v>6</v>
      </c>
      <c r="B36" s="156" t="s">
        <v>405</v>
      </c>
      <c r="C36" s="157">
        <v>7250010</v>
      </c>
      <c r="D36" s="281" t="s">
        <v>41</v>
      </c>
      <c r="E36" s="282"/>
      <c r="F36" s="282">
        <v>796</v>
      </c>
      <c r="G36" s="279" t="s">
        <v>17</v>
      </c>
      <c r="H36" s="279">
        <v>500</v>
      </c>
      <c r="I36" s="283">
        <v>98401</v>
      </c>
      <c r="J36" s="279" t="s">
        <v>429</v>
      </c>
      <c r="K36" s="244">
        <v>1000000</v>
      </c>
      <c r="L36" s="277" t="s">
        <v>7</v>
      </c>
      <c r="M36" s="277">
        <v>41244</v>
      </c>
      <c r="N36" s="277" t="s">
        <v>571</v>
      </c>
      <c r="O36" s="279"/>
      <c r="P36" s="244">
        <f>H36</f>
        <v>500</v>
      </c>
      <c r="Q36" s="244">
        <f>K36</f>
        <v>1000000</v>
      </c>
      <c r="R36" s="244"/>
      <c r="S36" s="244"/>
      <c r="T36" s="244"/>
      <c r="U36" s="244"/>
      <c r="V36" s="244"/>
      <c r="W36" s="244"/>
      <c r="X36" s="284"/>
      <c r="Y36" s="237">
        <f t="shared" si="1"/>
        <v>0</v>
      </c>
      <c r="Z36" s="237">
        <v>0</v>
      </c>
    </row>
    <row r="37" spans="1:26" s="230" customFormat="1" ht="12.75" hidden="1" x14ac:dyDescent="0.2">
      <c r="A37" s="156" t="s">
        <v>526</v>
      </c>
      <c r="B37" s="156"/>
      <c r="C37" s="157"/>
      <c r="D37" s="281" t="s">
        <v>344</v>
      </c>
      <c r="E37" s="282"/>
      <c r="F37" s="282"/>
      <c r="G37" s="279"/>
      <c r="H37" s="279"/>
      <c r="I37" s="283"/>
      <c r="J37" s="279"/>
      <c r="K37" s="244">
        <f>SUM(K38:K41)</f>
        <v>2884815.0433333335</v>
      </c>
      <c r="L37" s="244"/>
      <c r="M37" s="244"/>
      <c r="N37" s="244"/>
      <c r="O37" s="279"/>
      <c r="P37" s="244"/>
      <c r="Q37" s="244">
        <f>SUM(Q38:Q41)</f>
        <v>2684815.0433333335</v>
      </c>
      <c r="R37" s="244">
        <f>SUM(R38:R41)</f>
        <v>0</v>
      </c>
      <c r="S37" s="244">
        <f>SUM(S38:S41)</f>
        <v>0</v>
      </c>
      <c r="T37" s="244">
        <f>SUM(T38:T41)</f>
        <v>0</v>
      </c>
      <c r="U37" s="244">
        <f>SUM(U38:U41)</f>
        <v>0</v>
      </c>
      <c r="V37" s="244"/>
      <c r="W37" s="244">
        <f>SUM(W38:W41)</f>
        <v>200000</v>
      </c>
      <c r="X37" s="284"/>
      <c r="Y37" s="237">
        <f t="shared" si="1"/>
        <v>0</v>
      </c>
      <c r="Z37" s="237">
        <f t="shared" ref="Z37:Z53" si="6">K37-Q37-S37-U37-W37</f>
        <v>0</v>
      </c>
    </row>
    <row r="38" spans="1:26" s="141" customFormat="1" ht="38.25" hidden="1" x14ac:dyDescent="0.2">
      <c r="A38" s="165" t="s">
        <v>527</v>
      </c>
      <c r="B38" s="110" t="s">
        <v>565</v>
      </c>
      <c r="C38" s="110">
        <v>6420000</v>
      </c>
      <c r="D38" s="292" t="s">
        <v>97</v>
      </c>
      <c r="E38" s="110"/>
      <c r="F38" s="110">
        <v>362</v>
      </c>
      <c r="G38" s="290" t="s">
        <v>22</v>
      </c>
      <c r="H38" s="290">
        <v>12</v>
      </c>
      <c r="I38" s="151">
        <v>98</v>
      </c>
      <c r="J38" s="287" t="s">
        <v>564</v>
      </c>
      <c r="K38" s="248">
        <f>Q38+S38+U38+W38</f>
        <v>170800</v>
      </c>
      <c r="L38" s="246" t="str">
        <f>IF(Q38&gt;0,"1 квартал 2012",K41ЕСЛИ(S38&gt;0,"2 квартал 2012",IF(U38&gt;0,"3 квартал 2012","4 квартал 2012")))</f>
        <v>1 квартал 2012</v>
      </c>
      <c r="M38" s="245">
        <v>41244</v>
      </c>
      <c r="N38" s="285" t="s">
        <v>504</v>
      </c>
      <c r="O38" s="290"/>
      <c r="P38" s="249">
        <v>12</v>
      </c>
      <c r="Q38" s="249">
        <v>170800</v>
      </c>
      <c r="R38" s="249"/>
      <c r="S38" s="249"/>
      <c r="T38" s="249"/>
      <c r="U38" s="249"/>
      <c r="V38" s="249"/>
      <c r="W38" s="249"/>
      <c r="X38" s="288"/>
      <c r="Y38" s="237">
        <f t="shared" si="1"/>
        <v>0</v>
      </c>
      <c r="Z38" s="237">
        <f t="shared" si="6"/>
        <v>0</v>
      </c>
    </row>
    <row r="39" spans="1:26" s="141" customFormat="1" ht="25.5" hidden="1" x14ac:dyDescent="0.2">
      <c r="A39" s="165" t="s">
        <v>528</v>
      </c>
      <c r="B39" s="110" t="s">
        <v>565</v>
      </c>
      <c r="C39" s="110">
        <v>6420000</v>
      </c>
      <c r="D39" s="292" t="s">
        <v>97</v>
      </c>
      <c r="E39" s="110"/>
      <c r="F39" s="110">
        <v>362</v>
      </c>
      <c r="G39" s="290" t="s">
        <v>22</v>
      </c>
      <c r="H39" s="290">
        <v>12</v>
      </c>
      <c r="I39" s="151">
        <v>98</v>
      </c>
      <c r="J39" s="287" t="s">
        <v>564</v>
      </c>
      <c r="K39" s="248">
        <f>Q39+S39+U39+W39</f>
        <v>200000</v>
      </c>
      <c r="L39" s="246" t="str">
        <f>IF(Q39&gt;0,"1 квартал 2012",IF(S39&gt;0,"2 квартал 2012",IF(U39&gt;0,"3 квартал 2012","4 квартал 2012")))</f>
        <v>4 квартал 2012</v>
      </c>
      <c r="M39" s="245">
        <v>41610</v>
      </c>
      <c r="N39" s="297"/>
      <c r="O39" s="290"/>
      <c r="P39" s="249"/>
      <c r="Q39" s="249"/>
      <c r="R39" s="249"/>
      <c r="S39" s="249"/>
      <c r="T39" s="249"/>
      <c r="U39" s="249"/>
      <c r="V39" s="249">
        <v>12</v>
      </c>
      <c r="W39" s="249">
        <v>200000</v>
      </c>
      <c r="X39" s="288"/>
      <c r="Y39" s="237"/>
      <c r="Z39" s="237"/>
    </row>
    <row r="40" spans="1:26" s="141" customFormat="1" ht="38.25" hidden="1" x14ac:dyDescent="0.2">
      <c r="A40" s="165" t="s">
        <v>529</v>
      </c>
      <c r="B40" s="110" t="s">
        <v>565</v>
      </c>
      <c r="C40" s="110">
        <v>6420000</v>
      </c>
      <c r="D40" s="292" t="s">
        <v>98</v>
      </c>
      <c r="E40" s="110"/>
      <c r="F40" s="110">
        <v>362</v>
      </c>
      <c r="G40" s="290" t="s">
        <v>22</v>
      </c>
      <c r="H40" s="290">
        <v>12</v>
      </c>
      <c r="I40" s="151">
        <v>98</v>
      </c>
      <c r="J40" s="287" t="s">
        <v>564</v>
      </c>
      <c r="K40" s="248">
        <f>Q40</f>
        <v>1756581</v>
      </c>
      <c r="L40" s="246" t="str">
        <f>IF(Q40&gt;0,"1 квартал 2012",IF(S40&gt;0,"2 квартал 2012",IF(U40&gt;0,"3 квартал 2012","4 квартал 2012")))</f>
        <v>1 квартал 2012</v>
      </c>
      <c r="M40" s="245">
        <v>41244</v>
      </c>
      <c r="N40" s="285" t="s">
        <v>504</v>
      </c>
      <c r="O40" s="290"/>
      <c r="P40" s="249">
        <v>12</v>
      </c>
      <c r="Q40" s="249">
        <v>1756581</v>
      </c>
      <c r="R40" s="249"/>
      <c r="S40" s="249"/>
      <c r="T40" s="249"/>
      <c r="U40" s="249"/>
      <c r="V40" s="249"/>
      <c r="W40" s="249"/>
      <c r="X40" s="288"/>
      <c r="Y40" s="237">
        <f t="shared" si="1"/>
        <v>0</v>
      </c>
      <c r="Z40" s="237">
        <f t="shared" si="6"/>
        <v>0</v>
      </c>
    </row>
    <row r="41" spans="1:26" s="141" customFormat="1" ht="38.25" hidden="1" x14ac:dyDescent="0.2">
      <c r="A41" s="165" t="s">
        <v>569</v>
      </c>
      <c r="B41" s="110" t="s">
        <v>465</v>
      </c>
      <c r="C41" s="110">
        <v>7290000</v>
      </c>
      <c r="D41" s="292" t="s">
        <v>99</v>
      </c>
      <c r="E41" s="110"/>
      <c r="F41" s="110">
        <v>362</v>
      </c>
      <c r="G41" s="290" t="s">
        <v>22</v>
      </c>
      <c r="H41" s="290">
        <v>12</v>
      </c>
      <c r="I41" s="151">
        <v>98</v>
      </c>
      <c r="J41" s="287" t="s">
        <v>564</v>
      </c>
      <c r="K41" s="248">
        <v>757434.04333333345</v>
      </c>
      <c r="L41" s="246" t="str">
        <f>IF(Q41&gt;0,"1 квартал 2012",IF(S41&gt;0,"2 квартал 2012",IF(U41&gt;0,"3 квартал 2012","4 квартал 2012")))</f>
        <v>1 квартал 2012</v>
      </c>
      <c r="M41" s="245">
        <v>41244</v>
      </c>
      <c r="N41" s="285" t="s">
        <v>504</v>
      </c>
      <c r="O41" s="290"/>
      <c r="P41" s="249">
        <v>12</v>
      </c>
      <c r="Q41" s="249">
        <f>K41</f>
        <v>757434.04333333345</v>
      </c>
      <c r="R41" s="249"/>
      <c r="S41" s="249"/>
      <c r="T41" s="249"/>
      <c r="U41" s="249"/>
      <c r="V41" s="249"/>
      <c r="W41" s="249"/>
      <c r="X41" s="288"/>
      <c r="Y41" s="237">
        <f t="shared" si="1"/>
        <v>0</v>
      </c>
      <c r="Z41" s="237">
        <f t="shared" si="6"/>
        <v>0</v>
      </c>
    </row>
    <row r="42" spans="1:26" s="141" customFormat="1" ht="12.75" hidden="1" x14ac:dyDescent="0.2">
      <c r="A42" s="165" t="s">
        <v>570</v>
      </c>
      <c r="B42" s="110" t="s">
        <v>465</v>
      </c>
      <c r="C42" s="110">
        <v>7290000</v>
      </c>
      <c r="D42" s="292" t="s">
        <v>99</v>
      </c>
      <c r="E42" s="110"/>
      <c r="F42" s="110">
        <v>362</v>
      </c>
      <c r="G42" s="290" t="s">
        <v>22</v>
      </c>
      <c r="H42" s="290">
        <v>12</v>
      </c>
      <c r="I42" s="151">
        <v>98401</v>
      </c>
      <c r="J42" s="287" t="s">
        <v>429</v>
      </c>
      <c r="K42" s="248">
        <v>420000</v>
      </c>
      <c r="L42" s="246" t="str">
        <f>IF(Q42&gt;0,"1 квартал 2012",IF(S42&gt;0,"2 квартал 2012",IF(U42&gt;0,"3 квартал 2012","4 квартал 2012")))</f>
        <v>4 квартал 2012</v>
      </c>
      <c r="M42" s="245">
        <v>41610</v>
      </c>
      <c r="N42" s="297"/>
      <c r="O42" s="290"/>
      <c r="P42" s="249"/>
      <c r="Q42" s="249"/>
      <c r="R42" s="249"/>
      <c r="S42" s="249"/>
      <c r="T42" s="249"/>
      <c r="U42" s="249"/>
      <c r="V42" s="249">
        <v>12</v>
      </c>
      <c r="W42" s="249">
        <v>420000</v>
      </c>
      <c r="X42" s="288"/>
      <c r="Y42" s="237"/>
      <c r="Z42" s="237"/>
    </row>
    <row r="43" spans="1:26" s="230" customFormat="1" ht="12.75" hidden="1" x14ac:dyDescent="0.2">
      <c r="A43" s="156" t="s">
        <v>530</v>
      </c>
      <c r="B43" s="156"/>
      <c r="C43" s="157"/>
      <c r="D43" s="281" t="s">
        <v>101</v>
      </c>
      <c r="E43" s="282"/>
      <c r="F43" s="282"/>
      <c r="G43" s="279"/>
      <c r="H43" s="279">
        <f>SUM(H44:H49)</f>
        <v>93</v>
      </c>
      <c r="I43" s="283"/>
      <c r="J43" s="279"/>
      <c r="K43" s="244">
        <f>SUM(K44:K49)</f>
        <v>2578649</v>
      </c>
      <c r="L43" s="244"/>
      <c r="M43" s="244"/>
      <c r="N43" s="244"/>
      <c r="O43" s="279"/>
      <c r="P43" s="244">
        <f t="shared" ref="P43:W43" si="7">SUM(P44:P49)</f>
        <v>30</v>
      </c>
      <c r="Q43" s="244">
        <f t="shared" si="7"/>
        <v>519500</v>
      </c>
      <c r="R43" s="244">
        <f t="shared" si="7"/>
        <v>0</v>
      </c>
      <c r="S43" s="244">
        <f t="shared" si="7"/>
        <v>0</v>
      </c>
      <c r="T43" s="244">
        <f t="shared" si="7"/>
        <v>47</v>
      </c>
      <c r="U43" s="244">
        <f t="shared" si="7"/>
        <v>1459149</v>
      </c>
      <c r="V43" s="244">
        <f t="shared" si="7"/>
        <v>16</v>
      </c>
      <c r="W43" s="244">
        <f t="shared" si="7"/>
        <v>600000</v>
      </c>
      <c r="X43" s="284"/>
      <c r="Y43" s="237">
        <f t="shared" si="1"/>
        <v>0</v>
      </c>
      <c r="Z43" s="237">
        <f t="shared" si="6"/>
        <v>0</v>
      </c>
    </row>
    <row r="44" spans="1:26" s="141" customFormat="1" ht="38.25" hidden="1" x14ac:dyDescent="0.2">
      <c r="A44" s="165" t="s">
        <v>531</v>
      </c>
      <c r="B44" s="165" t="s">
        <v>425</v>
      </c>
      <c r="C44" s="110">
        <v>8090010</v>
      </c>
      <c r="D44" s="285" t="s">
        <v>102</v>
      </c>
      <c r="E44" s="110"/>
      <c r="F44" s="286">
        <v>792</v>
      </c>
      <c r="G44" s="290" t="s">
        <v>103</v>
      </c>
      <c r="H44" s="290">
        <v>29</v>
      </c>
      <c r="I44" s="151">
        <v>98401</v>
      </c>
      <c r="J44" s="287" t="s">
        <v>429</v>
      </c>
      <c r="K44" s="248">
        <v>507500</v>
      </c>
      <c r="L44" s="246" t="str">
        <f t="shared" ref="L44:L51" si="8">IF(Q44&gt;0,"1 квартал 2012",IF(S44&gt;0,"2 квартал 2012",IF(U44&gt;0,"3 квартал 2012","4 квартал 2012")))</f>
        <v>1 квартал 2012</v>
      </c>
      <c r="M44" s="248"/>
      <c r="N44" s="285" t="s">
        <v>504</v>
      </c>
      <c r="O44" s="290"/>
      <c r="P44" s="249">
        <v>29</v>
      </c>
      <c r="Q44" s="249">
        <v>507500</v>
      </c>
      <c r="R44" s="249"/>
      <c r="S44" s="249"/>
      <c r="T44" s="249"/>
      <c r="U44" s="249"/>
      <c r="V44" s="249"/>
      <c r="W44" s="249"/>
      <c r="X44" s="288"/>
      <c r="Y44" s="237">
        <f t="shared" si="1"/>
        <v>0</v>
      </c>
      <c r="Z44" s="237">
        <f t="shared" si="6"/>
        <v>0</v>
      </c>
    </row>
    <row r="45" spans="1:26" s="141" customFormat="1" ht="38.25" hidden="1" x14ac:dyDescent="0.2">
      <c r="A45" s="165" t="s">
        <v>532</v>
      </c>
      <c r="B45" s="165" t="s">
        <v>425</v>
      </c>
      <c r="C45" s="110">
        <v>8090010</v>
      </c>
      <c r="D45" s="285" t="s">
        <v>105</v>
      </c>
      <c r="E45" s="110"/>
      <c r="F45" s="286">
        <v>792</v>
      </c>
      <c r="G45" s="290" t="s">
        <v>103</v>
      </c>
      <c r="H45" s="290">
        <v>39</v>
      </c>
      <c r="I45" s="151">
        <v>98401</v>
      </c>
      <c r="J45" s="287" t="s">
        <v>429</v>
      </c>
      <c r="K45" s="248">
        <v>1170000</v>
      </c>
      <c r="L45" s="246" t="str">
        <f t="shared" si="8"/>
        <v>3 квартал 2012</v>
      </c>
      <c r="M45" s="248"/>
      <c r="N45" s="285" t="s">
        <v>504</v>
      </c>
      <c r="O45" s="290"/>
      <c r="P45" s="249"/>
      <c r="Q45" s="249"/>
      <c r="R45" s="249"/>
      <c r="S45" s="249"/>
      <c r="T45" s="249">
        <v>39</v>
      </c>
      <c r="U45" s="249">
        <v>1170000</v>
      </c>
      <c r="V45" s="249"/>
      <c r="W45" s="249"/>
      <c r="X45" s="288"/>
      <c r="Y45" s="237">
        <f t="shared" si="1"/>
        <v>0</v>
      </c>
      <c r="Z45" s="237">
        <f t="shared" si="6"/>
        <v>0</v>
      </c>
    </row>
    <row r="46" spans="1:26" s="141" customFormat="1" ht="38.25" hidden="1" x14ac:dyDescent="0.2">
      <c r="A46" s="165" t="s">
        <v>533</v>
      </c>
      <c r="B46" s="165" t="s">
        <v>425</v>
      </c>
      <c r="C46" s="110">
        <v>8090010</v>
      </c>
      <c r="D46" s="285" t="s">
        <v>106</v>
      </c>
      <c r="E46" s="110"/>
      <c r="F46" s="286">
        <v>792</v>
      </c>
      <c r="G46" s="290" t="s">
        <v>103</v>
      </c>
      <c r="H46" s="290">
        <v>3</v>
      </c>
      <c r="I46" s="151">
        <v>98401</v>
      </c>
      <c r="J46" s="287" t="s">
        <v>429</v>
      </c>
      <c r="K46" s="248">
        <v>132700</v>
      </c>
      <c r="L46" s="246" t="str">
        <f t="shared" si="8"/>
        <v>3 квартал 2012</v>
      </c>
      <c r="M46" s="248"/>
      <c r="N46" s="285" t="s">
        <v>504</v>
      </c>
      <c r="O46" s="290"/>
      <c r="P46" s="249"/>
      <c r="Q46" s="249"/>
      <c r="R46" s="249"/>
      <c r="S46" s="249"/>
      <c r="T46" s="249">
        <v>3</v>
      </c>
      <c r="U46" s="249">
        <v>132700</v>
      </c>
      <c r="V46" s="249"/>
      <c r="W46" s="249"/>
      <c r="X46" s="288"/>
      <c r="Y46" s="237">
        <f t="shared" si="1"/>
        <v>0</v>
      </c>
      <c r="Z46" s="237">
        <f t="shared" si="6"/>
        <v>0</v>
      </c>
    </row>
    <row r="47" spans="1:26" s="141" customFormat="1" ht="51" hidden="1" x14ac:dyDescent="0.2">
      <c r="A47" s="165" t="s">
        <v>534</v>
      </c>
      <c r="B47" s="165" t="s">
        <v>425</v>
      </c>
      <c r="C47" s="110">
        <v>8090010</v>
      </c>
      <c r="D47" s="285" t="s">
        <v>107</v>
      </c>
      <c r="E47" s="110"/>
      <c r="F47" s="286">
        <v>792</v>
      </c>
      <c r="G47" s="290" t="s">
        <v>103</v>
      </c>
      <c r="H47" s="290">
        <v>4</v>
      </c>
      <c r="I47" s="151">
        <v>98401</v>
      </c>
      <c r="J47" s="287" t="s">
        <v>429</v>
      </c>
      <c r="K47" s="248">
        <v>112000</v>
      </c>
      <c r="L47" s="246" t="str">
        <f t="shared" si="8"/>
        <v>1 квартал 2012</v>
      </c>
      <c r="M47" s="248"/>
      <c r="N47" s="285" t="s">
        <v>504</v>
      </c>
      <c r="O47" s="290"/>
      <c r="P47" s="249">
        <v>1</v>
      </c>
      <c r="Q47" s="249">
        <v>12000</v>
      </c>
      <c r="R47" s="249"/>
      <c r="S47" s="249"/>
      <c r="T47" s="249"/>
      <c r="U47" s="249"/>
      <c r="V47" s="249">
        <v>3</v>
      </c>
      <c r="W47" s="249">
        <v>100000</v>
      </c>
      <c r="X47" s="288"/>
      <c r="Y47" s="237">
        <f t="shared" si="1"/>
        <v>0</v>
      </c>
      <c r="Z47" s="237">
        <f t="shared" si="6"/>
        <v>0</v>
      </c>
    </row>
    <row r="48" spans="1:26" s="141" customFormat="1" ht="38.25" hidden="1" x14ac:dyDescent="0.2">
      <c r="A48" s="165" t="s">
        <v>535</v>
      </c>
      <c r="B48" s="165" t="s">
        <v>425</v>
      </c>
      <c r="C48" s="110">
        <v>8090010</v>
      </c>
      <c r="D48" s="285" t="s">
        <v>108</v>
      </c>
      <c r="E48" s="110"/>
      <c r="F48" s="286">
        <v>792</v>
      </c>
      <c r="G48" s="290" t="s">
        <v>103</v>
      </c>
      <c r="H48" s="290">
        <v>8</v>
      </c>
      <c r="I48" s="151">
        <v>98401</v>
      </c>
      <c r="J48" s="287" t="s">
        <v>429</v>
      </c>
      <c r="K48" s="248">
        <v>256449</v>
      </c>
      <c r="L48" s="246" t="str">
        <f t="shared" si="8"/>
        <v>3 квартал 2012</v>
      </c>
      <c r="M48" s="248"/>
      <c r="N48" s="285" t="s">
        <v>504</v>
      </c>
      <c r="O48" s="290"/>
      <c r="P48" s="249"/>
      <c r="Q48" s="249"/>
      <c r="R48" s="249"/>
      <c r="S48" s="249"/>
      <c r="T48" s="249">
        <v>5</v>
      </c>
      <c r="U48" s="249">
        <v>156449</v>
      </c>
      <c r="V48" s="249">
        <v>3</v>
      </c>
      <c r="W48" s="249">
        <v>100000</v>
      </c>
      <c r="X48" s="288"/>
      <c r="Y48" s="237">
        <f t="shared" si="1"/>
        <v>0</v>
      </c>
      <c r="Z48" s="237">
        <f t="shared" si="6"/>
        <v>0</v>
      </c>
    </row>
    <row r="49" spans="1:26" s="141" customFormat="1" ht="38.25" hidden="1" x14ac:dyDescent="0.2">
      <c r="A49" s="165" t="s">
        <v>536</v>
      </c>
      <c r="B49" s="165" t="s">
        <v>425</v>
      </c>
      <c r="C49" s="110">
        <v>8090010</v>
      </c>
      <c r="D49" s="285" t="s">
        <v>362</v>
      </c>
      <c r="E49" s="286"/>
      <c r="F49" s="286">
        <v>792</v>
      </c>
      <c r="G49" s="290" t="s">
        <v>103</v>
      </c>
      <c r="H49" s="290">
        <v>10</v>
      </c>
      <c r="I49" s="151">
        <v>98401</v>
      </c>
      <c r="J49" s="287" t="s">
        <v>429</v>
      </c>
      <c r="K49" s="248">
        <v>400000</v>
      </c>
      <c r="L49" s="246" t="str">
        <f t="shared" si="8"/>
        <v>4 квартал 2012</v>
      </c>
      <c r="M49" s="245">
        <v>41244</v>
      </c>
      <c r="N49" s="285" t="s">
        <v>504</v>
      </c>
      <c r="O49" s="290"/>
      <c r="P49" s="249"/>
      <c r="Q49" s="249"/>
      <c r="R49" s="249"/>
      <c r="S49" s="249"/>
      <c r="T49" s="249"/>
      <c r="U49" s="249"/>
      <c r="V49" s="249">
        <v>10</v>
      </c>
      <c r="W49" s="249">
        <v>400000</v>
      </c>
      <c r="X49" s="288"/>
      <c r="Y49" s="237">
        <f t="shared" si="1"/>
        <v>0</v>
      </c>
      <c r="Z49" s="237">
        <f t="shared" si="6"/>
        <v>0</v>
      </c>
    </row>
    <row r="50" spans="1:26" s="230" customFormat="1" ht="38.25" hidden="1" x14ac:dyDescent="0.2">
      <c r="A50" s="156" t="s">
        <v>537</v>
      </c>
      <c r="B50" s="156" t="s">
        <v>408</v>
      </c>
      <c r="C50" s="157">
        <v>4110000</v>
      </c>
      <c r="D50" s="281" t="s">
        <v>113</v>
      </c>
      <c r="E50" s="282"/>
      <c r="F50" s="282">
        <v>113</v>
      </c>
      <c r="G50" s="279" t="s">
        <v>489</v>
      </c>
      <c r="H50" s="279">
        <v>2157</v>
      </c>
      <c r="I50" s="283">
        <v>98</v>
      </c>
      <c r="J50" s="279" t="s">
        <v>564</v>
      </c>
      <c r="K50" s="244">
        <v>177087.93580000001</v>
      </c>
      <c r="L50" s="278" t="str">
        <f t="shared" si="8"/>
        <v>1 квартал 2012</v>
      </c>
      <c r="M50" s="277">
        <v>41244</v>
      </c>
      <c r="N50" s="244" t="s">
        <v>504</v>
      </c>
      <c r="O50" s="279"/>
      <c r="P50" s="244">
        <v>2157</v>
      </c>
      <c r="Q50" s="244">
        <v>177087.93580000001</v>
      </c>
      <c r="R50" s="244">
        <v>0</v>
      </c>
      <c r="S50" s="244">
        <v>0</v>
      </c>
      <c r="T50" s="244">
        <v>0</v>
      </c>
      <c r="U50" s="244">
        <v>0</v>
      </c>
      <c r="V50" s="244">
        <v>0</v>
      </c>
      <c r="W50" s="244">
        <v>0</v>
      </c>
      <c r="X50" s="284"/>
      <c r="Y50" s="237">
        <f t="shared" si="1"/>
        <v>0</v>
      </c>
      <c r="Z50" s="237">
        <f t="shared" si="6"/>
        <v>0</v>
      </c>
    </row>
    <row r="51" spans="1:26" s="230" customFormat="1" ht="38.25" hidden="1" x14ac:dyDescent="0.2">
      <c r="A51" s="156" t="s">
        <v>538</v>
      </c>
      <c r="B51" s="156" t="s">
        <v>407</v>
      </c>
      <c r="C51" s="157">
        <v>4030000</v>
      </c>
      <c r="D51" s="281" t="s">
        <v>127</v>
      </c>
      <c r="E51" s="282"/>
      <c r="F51" s="282">
        <v>232</v>
      </c>
      <c r="G51" s="279" t="s">
        <v>454</v>
      </c>
      <c r="H51" s="279">
        <v>807.16300000000001</v>
      </c>
      <c r="I51" s="283">
        <v>98</v>
      </c>
      <c r="J51" s="279" t="s">
        <v>564</v>
      </c>
      <c r="K51" s="244">
        <v>2445349.411084746</v>
      </c>
      <c r="L51" s="278" t="str">
        <f t="shared" si="8"/>
        <v>1 квартал 2012</v>
      </c>
      <c r="M51" s="277">
        <v>41245</v>
      </c>
      <c r="N51" s="244" t="s">
        <v>504</v>
      </c>
      <c r="O51" s="279"/>
      <c r="P51" s="279">
        <v>807.16300000000001</v>
      </c>
      <c r="Q51" s="244">
        <v>2445349.411084746</v>
      </c>
      <c r="R51" s="244">
        <v>0</v>
      </c>
      <c r="S51" s="244">
        <v>0</v>
      </c>
      <c r="T51" s="244">
        <v>0</v>
      </c>
      <c r="U51" s="244">
        <v>0</v>
      </c>
      <c r="V51" s="244">
        <v>0</v>
      </c>
      <c r="W51" s="244">
        <v>0</v>
      </c>
      <c r="X51" s="284"/>
      <c r="Y51" s="237">
        <f t="shared" si="1"/>
        <v>0</v>
      </c>
      <c r="Z51" s="237">
        <f t="shared" si="6"/>
        <v>0</v>
      </c>
    </row>
    <row r="52" spans="1:26" s="230" customFormat="1" ht="38.25" hidden="1" x14ac:dyDescent="0.2">
      <c r="A52" s="156" t="s">
        <v>539</v>
      </c>
      <c r="B52" s="156" t="s">
        <v>407</v>
      </c>
      <c r="C52" s="157">
        <v>4020000</v>
      </c>
      <c r="D52" s="281" t="s">
        <v>515</v>
      </c>
      <c r="E52" s="282"/>
      <c r="F52" s="282">
        <v>114</v>
      </c>
      <c r="G52" s="279" t="s">
        <v>455</v>
      </c>
      <c r="H52" s="279">
        <v>175</v>
      </c>
      <c r="I52" s="283">
        <v>98401</v>
      </c>
      <c r="J52" s="279" t="s">
        <v>429</v>
      </c>
      <c r="K52" s="244">
        <v>547814.87562185014</v>
      </c>
      <c r="L52" s="279" t="s">
        <v>516</v>
      </c>
      <c r="M52" s="277">
        <v>41246</v>
      </c>
      <c r="N52" s="244" t="s">
        <v>504</v>
      </c>
      <c r="O52" s="279"/>
      <c r="P52" s="279">
        <v>175</v>
      </c>
      <c r="Q52" s="244">
        <v>547814.87562185014</v>
      </c>
      <c r="R52" s="244"/>
      <c r="S52" s="244"/>
      <c r="T52" s="244"/>
      <c r="U52" s="244"/>
      <c r="V52" s="244"/>
      <c r="W52" s="244"/>
      <c r="X52" s="284"/>
      <c r="Y52" s="237">
        <f t="shared" si="1"/>
        <v>0</v>
      </c>
      <c r="Z52" s="237">
        <f t="shared" si="6"/>
        <v>0</v>
      </c>
    </row>
    <row r="53" spans="1:26" s="230" customFormat="1" ht="25.5" hidden="1" x14ac:dyDescent="0.2">
      <c r="A53" s="156" t="s">
        <v>540</v>
      </c>
      <c r="B53" s="156"/>
      <c r="C53" s="157"/>
      <c r="D53" s="281" t="s">
        <v>573</v>
      </c>
      <c r="E53" s="282"/>
      <c r="F53" s="282"/>
      <c r="G53" s="279"/>
      <c r="H53" s="279"/>
      <c r="I53" s="283"/>
      <c r="J53" s="279"/>
      <c r="K53" s="244">
        <f>SUM(K54:K55)</f>
        <v>2762808</v>
      </c>
      <c r="L53" s="244"/>
      <c r="M53" s="244"/>
      <c r="N53" s="244"/>
      <c r="O53" s="279"/>
      <c r="P53" s="244"/>
      <c r="Q53" s="244">
        <f>SUM(Q54:Q54)</f>
        <v>1381404</v>
      </c>
      <c r="R53" s="244">
        <f>SUM(R54:R54)</f>
        <v>0</v>
      </c>
      <c r="S53" s="244">
        <f>SUM(S54:S54)</f>
        <v>0</v>
      </c>
      <c r="T53" s="244">
        <f>SUM(T54:T54)</f>
        <v>0</v>
      </c>
      <c r="U53" s="244">
        <f>SUM(U54:U54)</f>
        <v>0</v>
      </c>
      <c r="V53" s="244"/>
      <c r="W53" s="244">
        <f>SUM(W54:W55)</f>
        <v>1381404</v>
      </c>
      <c r="X53" s="284"/>
      <c r="Y53" s="237">
        <f t="shared" si="1"/>
        <v>0</v>
      </c>
      <c r="Z53" s="237">
        <f t="shared" si="6"/>
        <v>0</v>
      </c>
    </row>
    <row r="54" spans="1:26" s="141" customFormat="1" ht="12.75" hidden="1" x14ac:dyDescent="0.2">
      <c r="A54" s="165" t="s">
        <v>541</v>
      </c>
      <c r="B54" s="165" t="s">
        <v>572</v>
      </c>
      <c r="C54" s="110">
        <v>7493000</v>
      </c>
      <c r="D54" s="293" t="s">
        <v>490</v>
      </c>
      <c r="E54" s="294"/>
      <c r="F54" s="110">
        <v>55</v>
      </c>
      <c r="G54" s="287" t="s">
        <v>574</v>
      </c>
      <c r="H54" s="290">
        <f>927+2430.8</f>
        <v>3357.8</v>
      </c>
      <c r="I54" s="151">
        <v>98401</v>
      </c>
      <c r="J54" s="290" t="s">
        <v>429</v>
      </c>
      <c r="K54" s="250">
        <f>'[3]расчет затрат Кирова'!$K$18</f>
        <v>1381404</v>
      </c>
      <c r="L54" s="246" t="str">
        <f>IF(Q54&gt;0,"1 квартал 2012",IF(S54&gt;0,"2 квартал 2012",IF(U54&gt;0,"3 квартал 2012","4 квартал 2012")))</f>
        <v>1 квартал 2012</v>
      </c>
      <c r="M54" s="245">
        <v>41245</v>
      </c>
      <c r="N54" s="285"/>
      <c r="O54" s="280"/>
      <c r="P54" s="249">
        <f>H54</f>
        <v>3357.8</v>
      </c>
      <c r="Q54" s="249">
        <f>K54</f>
        <v>1381404</v>
      </c>
      <c r="R54" s="249"/>
      <c r="S54" s="249"/>
      <c r="T54" s="249"/>
      <c r="U54" s="249"/>
      <c r="V54" s="249"/>
      <c r="W54" s="249"/>
      <c r="X54" s="288"/>
      <c r="Y54" s="237">
        <f t="shared" si="1"/>
        <v>0</v>
      </c>
      <c r="Z54" s="237">
        <f t="shared" ref="Z54:Z63" si="9">K54-Q54-S54-U54-W54</f>
        <v>0</v>
      </c>
    </row>
    <row r="55" spans="1:26" s="141" customFormat="1" ht="12.75" hidden="1" x14ac:dyDescent="0.2">
      <c r="A55" s="165" t="s">
        <v>542</v>
      </c>
      <c r="B55" s="165" t="s">
        <v>572</v>
      </c>
      <c r="C55" s="110">
        <v>7493000</v>
      </c>
      <c r="D55" s="293" t="s">
        <v>490</v>
      </c>
      <c r="E55" s="294"/>
      <c r="F55" s="110">
        <v>55</v>
      </c>
      <c r="G55" s="287" t="s">
        <v>574</v>
      </c>
      <c r="H55" s="290">
        <f>927+2430.8</f>
        <v>3357.8</v>
      </c>
      <c r="I55" s="151">
        <v>98401</v>
      </c>
      <c r="J55" s="290" t="s">
        <v>429</v>
      </c>
      <c r="K55" s="250">
        <f>'[3]расчет затрат Кирова'!$K$18</f>
        <v>1381404</v>
      </c>
      <c r="L55" s="246" t="str">
        <f>IF(Q55&gt;0,"1 квартал 2012",IF(S55&gt;0,"2 квартал 2012",IF(U55&gt;0,"3 квартал 2012","4 квартал 2012")))</f>
        <v>4 квартал 2012</v>
      </c>
      <c r="M55" s="245">
        <v>41610</v>
      </c>
      <c r="N55" s="297"/>
      <c r="O55" s="280"/>
      <c r="P55" s="249"/>
      <c r="Q55" s="249"/>
      <c r="R55" s="249"/>
      <c r="S55" s="249"/>
      <c r="T55" s="249"/>
      <c r="U55" s="249"/>
      <c r="V55" s="249">
        <f>H55</f>
        <v>3357.8</v>
      </c>
      <c r="W55" s="249">
        <f>K55</f>
        <v>1381404</v>
      </c>
      <c r="X55" s="288"/>
      <c r="Y55" s="237">
        <f>H55-P55-R55-T55-V55</f>
        <v>0</v>
      </c>
      <c r="Z55" s="237">
        <f>K55-Q55-S55-U55-W55</f>
        <v>0</v>
      </c>
    </row>
    <row r="56" spans="1:26" s="230" customFormat="1" ht="38.25" hidden="1" x14ac:dyDescent="0.2">
      <c r="A56" s="156" t="s">
        <v>543</v>
      </c>
      <c r="B56" s="156" t="s">
        <v>409</v>
      </c>
      <c r="C56" s="157">
        <v>4010000</v>
      </c>
      <c r="D56" s="281" t="s">
        <v>135</v>
      </c>
      <c r="E56" s="282"/>
      <c r="F56" s="282">
        <v>245</v>
      </c>
      <c r="G56" s="279" t="s">
        <v>487</v>
      </c>
      <c r="H56" s="279">
        <v>343</v>
      </c>
      <c r="I56" s="283">
        <v>98</v>
      </c>
      <c r="J56" s="279" t="s">
        <v>564</v>
      </c>
      <c r="K56" s="244">
        <v>1587518.8852496245</v>
      </c>
      <c r="L56" s="279" t="str">
        <f>IF(Q56&gt;0,"1 квартал 2012",IF(S56&gt;0,"2 квартал 2012",IF(U56&gt;0,"3 квартал 2012","4 квартал 2012")))</f>
        <v>1 квартал 2012</v>
      </c>
      <c r="M56" s="277">
        <v>41245</v>
      </c>
      <c r="N56" s="244" t="s">
        <v>504</v>
      </c>
      <c r="O56" s="279"/>
      <c r="P56" s="279">
        <v>343</v>
      </c>
      <c r="Q56" s="244">
        <v>1587518.8852496245</v>
      </c>
      <c r="R56" s="244"/>
      <c r="S56" s="244"/>
      <c r="T56" s="244"/>
      <c r="U56" s="244"/>
      <c r="V56" s="244"/>
      <c r="W56" s="244"/>
      <c r="X56" s="284"/>
      <c r="Y56" s="237">
        <f t="shared" si="1"/>
        <v>0</v>
      </c>
      <c r="Z56" s="237">
        <f t="shared" si="9"/>
        <v>0</v>
      </c>
    </row>
    <row r="57" spans="1:26" s="303" customFormat="1" ht="25.5" hidden="1" x14ac:dyDescent="0.2">
      <c r="A57" s="156" t="s">
        <v>544</v>
      </c>
      <c r="B57" s="156" t="s">
        <v>576</v>
      </c>
      <c r="C57" s="156">
        <v>5150000</v>
      </c>
      <c r="D57" s="281" t="s">
        <v>562</v>
      </c>
      <c r="E57" s="282"/>
      <c r="F57" s="282"/>
      <c r="G57" s="279"/>
      <c r="H57" s="279"/>
      <c r="I57" s="283"/>
      <c r="J57" s="279"/>
      <c r="K57" s="244">
        <v>760081</v>
      </c>
      <c r="L57" s="278" t="s">
        <v>516</v>
      </c>
      <c r="N57" s="244" t="s">
        <v>558</v>
      </c>
      <c r="O57" s="279" t="s">
        <v>557</v>
      </c>
      <c r="P57" s="244"/>
      <c r="Q57" s="244">
        <v>760081</v>
      </c>
      <c r="R57" s="244">
        <v>0</v>
      </c>
      <c r="S57" s="244">
        <v>0</v>
      </c>
      <c r="T57" s="244">
        <v>0</v>
      </c>
      <c r="U57" s="244">
        <v>0</v>
      </c>
      <c r="V57" s="244">
        <v>0</v>
      </c>
      <c r="W57" s="244">
        <v>0</v>
      </c>
      <c r="X57" s="284"/>
      <c r="Y57" s="304">
        <f t="shared" si="1"/>
        <v>0</v>
      </c>
      <c r="Z57" s="304">
        <v>0</v>
      </c>
    </row>
    <row r="58" spans="1:26" s="230" customFormat="1" ht="12.75" hidden="1" x14ac:dyDescent="0.2">
      <c r="A58" s="156" t="s">
        <v>545</v>
      </c>
      <c r="B58" s="156"/>
      <c r="C58" s="157"/>
      <c r="D58" s="281" t="s">
        <v>147</v>
      </c>
      <c r="E58" s="282"/>
      <c r="F58" s="282"/>
      <c r="G58" s="279"/>
      <c r="H58" s="279"/>
      <c r="I58" s="283"/>
      <c r="J58" s="279"/>
      <c r="K58" s="244">
        <f>SUM(K59:K66)</f>
        <v>10797650</v>
      </c>
      <c r="L58" s="244"/>
      <c r="M58" s="244"/>
      <c r="N58" s="244"/>
      <c r="O58" s="279"/>
      <c r="P58" s="244">
        <f t="shared" ref="P58:W58" si="10">SUM(P59:P66)</f>
        <v>0</v>
      </c>
      <c r="Q58" s="244">
        <f t="shared" si="10"/>
        <v>0</v>
      </c>
      <c r="R58" s="244"/>
      <c r="S58" s="244">
        <f t="shared" si="10"/>
        <v>1687650</v>
      </c>
      <c r="T58" s="244">
        <f t="shared" si="10"/>
        <v>0</v>
      </c>
      <c r="U58" s="244">
        <f t="shared" si="10"/>
        <v>0</v>
      </c>
      <c r="V58" s="244"/>
      <c r="W58" s="244">
        <f t="shared" si="10"/>
        <v>9110000</v>
      </c>
      <c r="X58" s="284"/>
      <c r="Y58" s="237">
        <f t="shared" si="1"/>
        <v>0</v>
      </c>
      <c r="Z58" s="237">
        <f t="shared" si="9"/>
        <v>0</v>
      </c>
    </row>
    <row r="59" spans="1:26" s="141" customFormat="1" ht="25.5" hidden="1" x14ac:dyDescent="0.2">
      <c r="A59" s="165" t="s">
        <v>581</v>
      </c>
      <c r="B59" s="165" t="s">
        <v>576</v>
      </c>
      <c r="C59" s="110">
        <v>3320000</v>
      </c>
      <c r="D59" s="295" t="s">
        <v>148</v>
      </c>
      <c r="E59" s="286"/>
      <c r="F59" s="110">
        <v>796</v>
      </c>
      <c r="G59" s="287" t="s">
        <v>17</v>
      </c>
      <c r="H59" s="287">
        <v>15</v>
      </c>
      <c r="I59" s="151">
        <v>98401</v>
      </c>
      <c r="J59" s="287" t="s">
        <v>429</v>
      </c>
      <c r="K59" s="249">
        <v>300000</v>
      </c>
      <c r="L59" s="246" t="str">
        <f t="shared" ref="L59:L67" si="11">IF(Q59&gt;0,"1 квартал 2012",IF(S59&gt;0,"2 квартал 2012",IF(U59&gt;0,"3 квартал 2012","4 квартал 2012")))</f>
        <v>4 квартал 2012</v>
      </c>
      <c r="M59" s="245">
        <v>41244</v>
      </c>
      <c r="N59" s="249" t="s">
        <v>556</v>
      </c>
      <c r="O59" s="287" t="s">
        <v>557</v>
      </c>
      <c r="P59" s="249"/>
      <c r="Q59" s="249"/>
      <c r="R59" s="249"/>
      <c r="S59" s="249"/>
      <c r="T59" s="249"/>
      <c r="U59" s="249"/>
      <c r="V59" s="249">
        <v>15</v>
      </c>
      <c r="W59" s="249">
        <v>300000</v>
      </c>
      <c r="X59" s="288"/>
      <c r="Y59" s="237">
        <f t="shared" si="1"/>
        <v>0</v>
      </c>
      <c r="Z59" s="237">
        <f t="shared" si="9"/>
        <v>0</v>
      </c>
    </row>
    <row r="60" spans="1:26" s="141" customFormat="1" ht="25.5" hidden="1" x14ac:dyDescent="0.2">
      <c r="A60" s="165" t="s">
        <v>582</v>
      </c>
      <c r="B60" s="165" t="s">
        <v>576</v>
      </c>
      <c r="C60" s="110">
        <v>3220000</v>
      </c>
      <c r="D60" s="295" t="s">
        <v>149</v>
      </c>
      <c r="E60" s="286"/>
      <c r="F60" s="110">
        <v>796</v>
      </c>
      <c r="G60" s="287" t="s">
        <v>17</v>
      </c>
      <c r="H60" s="287">
        <v>2</v>
      </c>
      <c r="I60" s="151">
        <v>98401</v>
      </c>
      <c r="J60" s="287" t="s">
        <v>429</v>
      </c>
      <c r="K60" s="249">
        <v>815650</v>
      </c>
      <c r="L60" s="246" t="str">
        <f t="shared" si="11"/>
        <v>2 квартал 2012</v>
      </c>
      <c r="M60" s="249"/>
      <c r="N60" s="249" t="s">
        <v>556</v>
      </c>
      <c r="O60" s="287" t="s">
        <v>557</v>
      </c>
      <c r="P60" s="249"/>
      <c r="Q60" s="249"/>
      <c r="R60" s="249">
        <v>2</v>
      </c>
      <c r="S60" s="249">
        <v>815650</v>
      </c>
      <c r="T60" s="249"/>
      <c r="U60" s="249"/>
      <c r="V60" s="249"/>
      <c r="W60" s="249"/>
      <c r="X60" s="288" t="s">
        <v>502</v>
      </c>
      <c r="Y60" s="237">
        <f t="shared" si="1"/>
        <v>0</v>
      </c>
      <c r="Z60" s="237">
        <f t="shared" si="9"/>
        <v>0</v>
      </c>
    </row>
    <row r="61" spans="1:26" s="141" customFormat="1" ht="51" hidden="1" x14ac:dyDescent="0.2">
      <c r="A61" s="165" t="s">
        <v>583</v>
      </c>
      <c r="B61" s="165" t="s">
        <v>576</v>
      </c>
      <c r="C61" s="110">
        <v>3320000</v>
      </c>
      <c r="D61" s="295" t="s">
        <v>150</v>
      </c>
      <c r="E61" s="286"/>
      <c r="F61" s="110">
        <v>796</v>
      </c>
      <c r="G61" s="287" t="s">
        <v>17</v>
      </c>
      <c r="H61" s="287">
        <v>1</v>
      </c>
      <c r="I61" s="151">
        <v>98401</v>
      </c>
      <c r="J61" s="287" t="s">
        <v>429</v>
      </c>
      <c r="K61" s="249">
        <f>S61</f>
        <v>322000</v>
      </c>
      <c r="L61" s="246" t="str">
        <f t="shared" si="11"/>
        <v>2 квартал 2012</v>
      </c>
      <c r="M61" s="249"/>
      <c r="N61" s="249" t="s">
        <v>560</v>
      </c>
      <c r="O61" s="287" t="s">
        <v>561</v>
      </c>
      <c r="P61" s="249"/>
      <c r="Q61" s="249"/>
      <c r="R61" s="249">
        <v>1</v>
      </c>
      <c r="S61" s="249">
        <v>322000</v>
      </c>
      <c r="T61" s="249"/>
      <c r="U61" s="249"/>
      <c r="V61" s="249"/>
      <c r="W61" s="249"/>
      <c r="X61" s="288" t="s">
        <v>501</v>
      </c>
      <c r="Y61" s="237">
        <f t="shared" si="1"/>
        <v>0</v>
      </c>
      <c r="Z61" s="237">
        <f t="shared" si="9"/>
        <v>0</v>
      </c>
    </row>
    <row r="62" spans="1:26" s="141" customFormat="1" ht="51" hidden="1" x14ac:dyDescent="0.2">
      <c r="A62" s="165" t="s">
        <v>584</v>
      </c>
      <c r="B62" s="165" t="s">
        <v>576</v>
      </c>
      <c r="C62" s="110">
        <v>3320000</v>
      </c>
      <c r="D62" s="295" t="s">
        <v>577</v>
      </c>
      <c r="E62" s="286"/>
      <c r="F62" s="110">
        <v>796</v>
      </c>
      <c r="G62" s="287" t="s">
        <v>17</v>
      </c>
      <c r="H62" s="287">
        <v>5</v>
      </c>
      <c r="I62" s="151">
        <v>98401</v>
      </c>
      <c r="J62" s="287" t="s">
        <v>429</v>
      </c>
      <c r="K62" s="249">
        <f>W62</f>
        <v>1610000</v>
      </c>
      <c r="L62" s="246" t="str">
        <f t="shared" si="11"/>
        <v>4 квартал 2012</v>
      </c>
      <c r="M62" s="245">
        <v>41244</v>
      </c>
      <c r="N62" s="249" t="s">
        <v>560</v>
      </c>
      <c r="O62" s="287" t="s">
        <v>561</v>
      </c>
      <c r="P62" s="249"/>
      <c r="Q62" s="249"/>
      <c r="R62" s="249"/>
      <c r="S62" s="249"/>
      <c r="T62" s="249"/>
      <c r="U62" s="249"/>
      <c r="V62" s="249">
        <v>5</v>
      </c>
      <c r="W62" s="249">
        <v>1610000</v>
      </c>
      <c r="X62" s="288"/>
      <c r="Y62" s="237">
        <f>H62-P62-R62-T62-V62</f>
        <v>0</v>
      </c>
      <c r="Z62" s="237">
        <f>K62-Q62-S62-U62-W62</f>
        <v>0</v>
      </c>
    </row>
    <row r="63" spans="1:26" s="141" customFormat="1" ht="25.5" hidden="1" x14ac:dyDescent="0.2">
      <c r="A63" s="165" t="s">
        <v>585</v>
      </c>
      <c r="B63" s="165" t="s">
        <v>578</v>
      </c>
      <c r="C63" s="110">
        <v>3410000</v>
      </c>
      <c r="D63" s="295" t="s">
        <v>152</v>
      </c>
      <c r="E63" s="286"/>
      <c r="F63" s="110">
        <v>796</v>
      </c>
      <c r="G63" s="287" t="s">
        <v>17</v>
      </c>
      <c r="H63" s="287">
        <v>1</v>
      </c>
      <c r="I63" s="151">
        <v>98401</v>
      </c>
      <c r="J63" s="287" t="s">
        <v>429</v>
      </c>
      <c r="K63" s="249">
        <v>550000</v>
      </c>
      <c r="L63" s="246" t="str">
        <f t="shared" si="11"/>
        <v>2 квартал 2012</v>
      </c>
      <c r="M63" s="249"/>
      <c r="N63" s="249" t="s">
        <v>556</v>
      </c>
      <c r="O63" s="287" t="s">
        <v>557</v>
      </c>
      <c r="P63" s="249"/>
      <c r="Q63" s="249"/>
      <c r="R63" s="249">
        <v>1</v>
      </c>
      <c r="S63" s="249">
        <v>550000</v>
      </c>
      <c r="T63" s="249"/>
      <c r="U63" s="249"/>
      <c r="V63" s="249"/>
      <c r="W63" s="249"/>
      <c r="X63" s="288" t="s">
        <v>500</v>
      </c>
      <c r="Y63" s="237">
        <f t="shared" si="1"/>
        <v>0</v>
      </c>
      <c r="Z63" s="237">
        <f t="shared" si="9"/>
        <v>0</v>
      </c>
    </row>
    <row r="64" spans="1:26" s="141" customFormat="1" ht="25.5" hidden="1" x14ac:dyDescent="0.2">
      <c r="A64" s="165" t="s">
        <v>586</v>
      </c>
      <c r="B64" s="165" t="s">
        <v>578</v>
      </c>
      <c r="C64" s="110">
        <v>3410000</v>
      </c>
      <c r="D64" s="295" t="s">
        <v>153</v>
      </c>
      <c r="E64" s="286"/>
      <c r="F64" s="110">
        <v>796</v>
      </c>
      <c r="G64" s="287" t="s">
        <v>17</v>
      </c>
      <c r="H64" s="287">
        <v>1</v>
      </c>
      <c r="I64" s="151">
        <v>98401</v>
      </c>
      <c r="J64" s="287" t="s">
        <v>429</v>
      </c>
      <c r="K64" s="249">
        <v>3100000</v>
      </c>
      <c r="L64" s="246" t="str">
        <f t="shared" si="11"/>
        <v>4 квартал 2012</v>
      </c>
      <c r="M64" s="245">
        <v>41244</v>
      </c>
      <c r="N64" s="249" t="s">
        <v>560</v>
      </c>
      <c r="O64" s="287" t="s">
        <v>561</v>
      </c>
      <c r="P64" s="249"/>
      <c r="Q64" s="249"/>
      <c r="R64" s="249"/>
      <c r="S64" s="249"/>
      <c r="T64" s="249"/>
      <c r="U64" s="249"/>
      <c r="V64" s="249">
        <v>1</v>
      </c>
      <c r="W64" s="249">
        <v>3100000</v>
      </c>
      <c r="X64" s="288"/>
      <c r="Y64" s="237">
        <f t="shared" si="1"/>
        <v>0</v>
      </c>
      <c r="Z64" s="237">
        <f t="shared" ref="Z64:Z99" si="12">K64-Q64-S64-U64-W64</f>
        <v>0</v>
      </c>
    </row>
    <row r="65" spans="1:26" s="141" customFormat="1" ht="25.5" hidden="1" x14ac:dyDescent="0.2">
      <c r="A65" s="165" t="s">
        <v>587</v>
      </c>
      <c r="B65" s="165" t="s">
        <v>578</v>
      </c>
      <c r="C65" s="110">
        <v>3410000</v>
      </c>
      <c r="D65" s="295" t="s">
        <v>154</v>
      </c>
      <c r="E65" s="286"/>
      <c r="F65" s="110">
        <v>796</v>
      </c>
      <c r="G65" s="287" t="s">
        <v>17</v>
      </c>
      <c r="H65" s="287">
        <v>1</v>
      </c>
      <c r="I65" s="151">
        <v>98401</v>
      </c>
      <c r="J65" s="287" t="s">
        <v>429</v>
      </c>
      <c r="K65" s="249">
        <v>2100000</v>
      </c>
      <c r="L65" s="246" t="str">
        <f t="shared" si="11"/>
        <v>4 квартал 2012</v>
      </c>
      <c r="M65" s="245">
        <v>41244</v>
      </c>
      <c r="N65" s="249" t="s">
        <v>560</v>
      </c>
      <c r="O65" s="287" t="s">
        <v>561</v>
      </c>
      <c r="P65" s="249"/>
      <c r="Q65" s="249"/>
      <c r="R65" s="249"/>
      <c r="S65" s="249"/>
      <c r="T65" s="249"/>
      <c r="U65" s="249"/>
      <c r="V65" s="249">
        <v>1</v>
      </c>
      <c r="W65" s="249">
        <v>2100000</v>
      </c>
      <c r="X65" s="288"/>
      <c r="Y65" s="237">
        <f t="shared" si="1"/>
        <v>0</v>
      </c>
      <c r="Z65" s="237">
        <f t="shared" si="12"/>
        <v>0</v>
      </c>
    </row>
    <row r="66" spans="1:26" s="141" customFormat="1" ht="12.75" hidden="1" x14ac:dyDescent="0.2">
      <c r="A66" s="165" t="s">
        <v>588</v>
      </c>
      <c r="B66" s="165" t="s">
        <v>579</v>
      </c>
      <c r="C66" s="110">
        <v>3530000</v>
      </c>
      <c r="D66" s="295" t="s">
        <v>363</v>
      </c>
      <c r="E66" s="286"/>
      <c r="F66" s="110">
        <v>796</v>
      </c>
      <c r="G66" s="287" t="s">
        <v>17</v>
      </c>
      <c r="H66" s="287">
        <v>1</v>
      </c>
      <c r="I66" s="151">
        <v>98401</v>
      </c>
      <c r="J66" s="287" t="s">
        <v>429</v>
      </c>
      <c r="K66" s="249">
        <v>2000000</v>
      </c>
      <c r="L66" s="246" t="str">
        <f t="shared" si="11"/>
        <v>4 квартал 2012</v>
      </c>
      <c r="M66" s="245">
        <v>41244</v>
      </c>
      <c r="N66" s="249" t="s">
        <v>560</v>
      </c>
      <c r="O66" s="287" t="s">
        <v>561</v>
      </c>
      <c r="P66" s="249"/>
      <c r="Q66" s="249"/>
      <c r="R66" s="249"/>
      <c r="S66" s="249"/>
      <c r="T66" s="249"/>
      <c r="U66" s="249"/>
      <c r="V66" s="249">
        <v>1</v>
      </c>
      <c r="W66" s="249">
        <v>2000000</v>
      </c>
      <c r="X66" s="288"/>
      <c r="Y66" s="237">
        <f t="shared" si="1"/>
        <v>0</v>
      </c>
      <c r="Z66" s="237">
        <f t="shared" si="12"/>
        <v>0</v>
      </c>
    </row>
    <row r="67" spans="1:26" s="230" customFormat="1" ht="25.5" hidden="1" x14ac:dyDescent="0.2">
      <c r="A67" s="156" t="s">
        <v>546</v>
      </c>
      <c r="B67" s="156" t="s">
        <v>417</v>
      </c>
      <c r="C67" s="281" t="s">
        <v>580</v>
      </c>
      <c r="D67" s="281" t="s">
        <v>553</v>
      </c>
      <c r="E67" s="282"/>
      <c r="F67" s="282">
        <v>112</v>
      </c>
      <c r="G67" s="279" t="s">
        <v>165</v>
      </c>
      <c r="H67" s="279">
        <v>30908</v>
      </c>
      <c r="I67" s="283">
        <v>1081500</v>
      </c>
      <c r="J67" s="279"/>
      <c r="K67" s="244">
        <v>1081500</v>
      </c>
      <c r="L67" s="279" t="str">
        <f t="shared" si="11"/>
        <v>4 квартал 2012</v>
      </c>
      <c r="M67" s="277">
        <v>41245</v>
      </c>
      <c r="N67" s="305"/>
      <c r="O67" s="279"/>
      <c r="P67" s="244"/>
      <c r="Q67" s="244"/>
      <c r="R67" s="244"/>
      <c r="S67" s="244"/>
      <c r="T67" s="244"/>
      <c r="U67" s="244"/>
      <c r="V67" s="244">
        <v>30908</v>
      </c>
      <c r="W67" s="244">
        <v>1081500</v>
      </c>
      <c r="X67" s="284"/>
      <c r="Y67" s="237">
        <f t="shared" si="1"/>
        <v>0</v>
      </c>
      <c r="Z67" s="237">
        <f t="shared" si="12"/>
        <v>0</v>
      </c>
    </row>
    <row r="68" spans="1:26" s="230" customFormat="1" ht="25.5" hidden="1" x14ac:dyDescent="0.2">
      <c r="A68" s="156" t="s">
        <v>547</v>
      </c>
      <c r="B68" s="156"/>
      <c r="C68" s="157"/>
      <c r="D68" s="281" t="s">
        <v>177</v>
      </c>
      <c r="E68" s="282"/>
      <c r="F68" s="282"/>
      <c r="G68" s="279"/>
      <c r="H68" s="279"/>
      <c r="I68" s="283"/>
      <c r="J68" s="279"/>
      <c r="K68" s="244">
        <f>SUM(K69:K115)</f>
        <v>14028145</v>
      </c>
      <c r="L68" s="244"/>
      <c r="M68" s="244"/>
      <c r="N68" s="244"/>
      <c r="O68" s="279"/>
      <c r="P68" s="244"/>
      <c r="Q68" s="244">
        <f>SUM(Q69:Q115)</f>
        <v>1174700</v>
      </c>
      <c r="R68" s="244"/>
      <c r="S68" s="244">
        <f>SUM(S69:S115)</f>
        <v>709200</v>
      </c>
      <c r="T68" s="244"/>
      <c r="U68" s="244">
        <f>SUM(U69:U115)</f>
        <v>2369345</v>
      </c>
      <c r="V68" s="244"/>
      <c r="W68" s="244">
        <f>SUM(W69:W115)</f>
        <v>9774900</v>
      </c>
      <c r="X68" s="284"/>
      <c r="Y68" s="237">
        <f t="shared" si="1"/>
        <v>0</v>
      </c>
      <c r="Z68" s="237">
        <f t="shared" si="12"/>
        <v>0</v>
      </c>
    </row>
    <row r="69" spans="1:26" s="141" customFormat="1" ht="25.5" hidden="1" x14ac:dyDescent="0.2">
      <c r="A69" s="165"/>
      <c r="B69" s="165" t="s">
        <v>575</v>
      </c>
      <c r="C69" s="110">
        <v>5235020</v>
      </c>
      <c r="D69" s="285" t="s">
        <v>178</v>
      </c>
      <c r="E69" s="286"/>
      <c r="F69" s="110">
        <v>796</v>
      </c>
      <c r="G69" s="287" t="s">
        <v>17</v>
      </c>
      <c r="H69" s="287">
        <v>17</v>
      </c>
      <c r="I69" s="151">
        <v>98401</v>
      </c>
      <c r="J69" s="287" t="s">
        <v>429</v>
      </c>
      <c r="K69" s="249">
        <v>736900</v>
      </c>
      <c r="L69" s="246" t="str">
        <f t="shared" ref="L69:L95" si="13">IF(Q69&gt;0,"1 квартал 2012",IF(S69&gt;0,"2 квартал 2012",IF(U69&gt;0,"3 квартал 2012","4 квартал 2012")))</f>
        <v>1 квартал 2012</v>
      </c>
      <c r="M69" s="249"/>
      <c r="N69" s="249" t="s">
        <v>556</v>
      </c>
      <c r="O69" s="287" t="s">
        <v>557</v>
      </c>
      <c r="P69" s="249">
        <v>12</v>
      </c>
      <c r="Q69" s="249">
        <v>480000</v>
      </c>
      <c r="R69" s="249"/>
      <c r="S69" s="249"/>
      <c r="T69" s="249">
        <v>1</v>
      </c>
      <c r="U69" s="249">
        <v>36900</v>
      </c>
      <c r="V69" s="249">
        <v>4</v>
      </c>
      <c r="W69" s="249">
        <v>220000</v>
      </c>
      <c r="X69" s="288"/>
      <c r="Y69" s="237">
        <f t="shared" si="1"/>
        <v>0</v>
      </c>
      <c r="Z69" s="237">
        <f t="shared" si="12"/>
        <v>0</v>
      </c>
    </row>
    <row r="70" spans="1:26" s="141" customFormat="1" ht="12.75" hidden="1" x14ac:dyDescent="0.2">
      <c r="A70" s="165"/>
      <c r="B70" s="165" t="s">
        <v>575</v>
      </c>
      <c r="C70" s="110">
        <v>5235020</v>
      </c>
      <c r="D70" s="285" t="s">
        <v>179</v>
      </c>
      <c r="E70" s="286"/>
      <c r="F70" s="110">
        <v>796</v>
      </c>
      <c r="G70" s="287" t="s">
        <v>17</v>
      </c>
      <c r="H70" s="287">
        <v>7</v>
      </c>
      <c r="I70" s="151">
        <v>98401</v>
      </c>
      <c r="J70" s="287" t="s">
        <v>429</v>
      </c>
      <c r="K70" s="249">
        <v>226450</v>
      </c>
      <c r="L70" s="246" t="str">
        <f t="shared" si="13"/>
        <v>1 квартал 2012</v>
      </c>
      <c r="M70" s="249"/>
      <c r="N70" s="249"/>
      <c r="O70" s="287"/>
      <c r="P70" s="249">
        <v>1</v>
      </c>
      <c r="Q70" s="249">
        <v>36500</v>
      </c>
      <c r="R70" s="249">
        <v>1</v>
      </c>
      <c r="S70" s="249">
        <v>36500</v>
      </c>
      <c r="T70" s="249">
        <v>3</v>
      </c>
      <c r="U70" s="249">
        <v>80450</v>
      </c>
      <c r="V70" s="249">
        <v>2</v>
      </c>
      <c r="W70" s="249">
        <v>73000</v>
      </c>
      <c r="X70" s="288"/>
      <c r="Y70" s="237">
        <f t="shared" si="1"/>
        <v>0</v>
      </c>
      <c r="Z70" s="237">
        <f t="shared" si="12"/>
        <v>0</v>
      </c>
    </row>
    <row r="71" spans="1:26" s="141" customFormat="1" ht="12.75" x14ac:dyDescent="0.2">
      <c r="A71" s="165"/>
      <c r="B71" s="165" t="s">
        <v>575</v>
      </c>
      <c r="C71" s="110">
        <v>5235020</v>
      </c>
      <c r="D71" s="285" t="s">
        <v>180</v>
      </c>
      <c r="E71" s="286"/>
      <c r="F71" s="110">
        <v>796</v>
      </c>
      <c r="G71" s="287" t="s">
        <v>17</v>
      </c>
      <c r="H71" s="287">
        <v>5</v>
      </c>
      <c r="I71" s="151">
        <v>98401</v>
      </c>
      <c r="J71" s="287" t="s">
        <v>429</v>
      </c>
      <c r="K71" s="249">
        <v>40000</v>
      </c>
      <c r="L71" s="246" t="str">
        <f t="shared" si="13"/>
        <v>1 квартал 2012</v>
      </c>
      <c r="M71" s="249"/>
      <c r="N71" s="249"/>
      <c r="O71" s="287"/>
      <c r="P71" s="249">
        <v>5</v>
      </c>
      <c r="Q71" s="249">
        <v>40000</v>
      </c>
      <c r="R71" s="249"/>
      <c r="S71" s="249"/>
      <c r="T71" s="249"/>
      <c r="U71" s="249"/>
      <c r="V71" s="249"/>
      <c r="W71" s="249"/>
      <c r="X71" s="288"/>
      <c r="Y71" s="237">
        <f t="shared" si="1"/>
        <v>0</v>
      </c>
      <c r="Z71" s="237">
        <f t="shared" si="12"/>
        <v>0</v>
      </c>
    </row>
    <row r="72" spans="1:26" s="141" customFormat="1" ht="25.5" hidden="1" x14ac:dyDescent="0.2">
      <c r="A72" s="165"/>
      <c r="B72" s="165" t="s">
        <v>575</v>
      </c>
      <c r="C72" s="110">
        <v>5235020</v>
      </c>
      <c r="D72" s="285" t="s">
        <v>182</v>
      </c>
      <c r="E72" s="286"/>
      <c r="F72" s="110">
        <v>796</v>
      </c>
      <c r="G72" s="287" t="s">
        <v>17</v>
      </c>
      <c r="H72" s="287">
        <v>9</v>
      </c>
      <c r="I72" s="151">
        <v>98401</v>
      </c>
      <c r="J72" s="287" t="s">
        <v>429</v>
      </c>
      <c r="K72" s="249">
        <v>120980</v>
      </c>
      <c r="L72" s="246" t="str">
        <f t="shared" si="13"/>
        <v>1 квартал 2012</v>
      </c>
      <c r="M72" s="249"/>
      <c r="N72" s="249"/>
      <c r="O72" s="287"/>
      <c r="P72" s="249">
        <v>2</v>
      </c>
      <c r="Q72" s="249">
        <v>16000</v>
      </c>
      <c r="R72" s="249"/>
      <c r="S72" s="249"/>
      <c r="T72" s="249">
        <v>2</v>
      </c>
      <c r="U72" s="249">
        <v>33980</v>
      </c>
      <c r="V72" s="249">
        <v>5</v>
      </c>
      <c r="W72" s="249">
        <v>71000</v>
      </c>
      <c r="X72" s="288"/>
      <c r="Y72" s="237">
        <f t="shared" si="1"/>
        <v>0</v>
      </c>
      <c r="Z72" s="237">
        <f t="shared" si="12"/>
        <v>0</v>
      </c>
    </row>
    <row r="73" spans="1:26" s="141" customFormat="1" ht="25.5" hidden="1" x14ac:dyDescent="0.2">
      <c r="A73" s="165"/>
      <c r="B73" s="165" t="s">
        <v>575</v>
      </c>
      <c r="C73" s="110">
        <v>5235020</v>
      </c>
      <c r="D73" s="285" t="s">
        <v>183</v>
      </c>
      <c r="E73" s="286"/>
      <c r="F73" s="110">
        <v>796</v>
      </c>
      <c r="G73" s="287" t="s">
        <v>17</v>
      </c>
      <c r="H73" s="287">
        <v>9</v>
      </c>
      <c r="I73" s="151">
        <v>98401</v>
      </c>
      <c r="J73" s="287" t="s">
        <v>429</v>
      </c>
      <c r="K73" s="249">
        <v>169190</v>
      </c>
      <c r="L73" s="246" t="str">
        <f t="shared" si="13"/>
        <v>1 квартал 2012</v>
      </c>
      <c r="M73" s="249"/>
      <c r="N73" s="249"/>
      <c r="O73" s="287"/>
      <c r="P73" s="249">
        <v>2</v>
      </c>
      <c r="Q73" s="249">
        <v>40000</v>
      </c>
      <c r="R73" s="249">
        <v>5</v>
      </c>
      <c r="S73" s="249">
        <v>100000</v>
      </c>
      <c r="T73" s="249">
        <v>1</v>
      </c>
      <c r="U73" s="249">
        <v>9190</v>
      </c>
      <c r="V73" s="249">
        <v>1</v>
      </c>
      <c r="W73" s="249">
        <v>20000</v>
      </c>
      <c r="X73" s="288"/>
      <c r="Y73" s="237">
        <f t="shared" si="1"/>
        <v>0</v>
      </c>
      <c r="Z73" s="237">
        <f t="shared" si="12"/>
        <v>0</v>
      </c>
    </row>
    <row r="74" spans="1:26" s="141" customFormat="1" ht="12.75" hidden="1" x14ac:dyDescent="0.2">
      <c r="A74" s="165"/>
      <c r="B74" s="165" t="s">
        <v>575</v>
      </c>
      <c r="C74" s="110">
        <v>5235020</v>
      </c>
      <c r="D74" s="285" t="s">
        <v>185</v>
      </c>
      <c r="E74" s="286"/>
      <c r="F74" s="110">
        <v>796</v>
      </c>
      <c r="G74" s="287" t="s">
        <v>17</v>
      </c>
      <c r="H74" s="287">
        <v>5</v>
      </c>
      <c r="I74" s="151">
        <v>98401</v>
      </c>
      <c r="J74" s="287" t="s">
        <v>429</v>
      </c>
      <c r="K74" s="249">
        <v>365000</v>
      </c>
      <c r="L74" s="246" t="str">
        <f t="shared" si="13"/>
        <v>2 квартал 2012</v>
      </c>
      <c r="M74" s="249"/>
      <c r="N74" s="249"/>
      <c r="O74" s="287"/>
      <c r="P74" s="249"/>
      <c r="Q74" s="249"/>
      <c r="R74" s="249">
        <v>1</v>
      </c>
      <c r="S74" s="249">
        <v>70000</v>
      </c>
      <c r="T74" s="249">
        <v>1</v>
      </c>
      <c r="U74" s="249">
        <v>100000</v>
      </c>
      <c r="V74" s="249">
        <v>3</v>
      </c>
      <c r="W74" s="249">
        <v>195000</v>
      </c>
      <c r="X74" s="288"/>
      <c r="Y74" s="237">
        <f t="shared" si="1"/>
        <v>0</v>
      </c>
      <c r="Z74" s="237">
        <f t="shared" si="12"/>
        <v>0</v>
      </c>
    </row>
    <row r="75" spans="1:26" s="141" customFormat="1" ht="12.75" hidden="1" x14ac:dyDescent="0.2">
      <c r="A75" s="165"/>
      <c r="B75" s="165" t="s">
        <v>575</v>
      </c>
      <c r="C75" s="110">
        <v>5235020</v>
      </c>
      <c r="D75" s="285" t="s">
        <v>186</v>
      </c>
      <c r="E75" s="286"/>
      <c r="F75" s="110">
        <v>796</v>
      </c>
      <c r="G75" s="287" t="s">
        <v>17</v>
      </c>
      <c r="H75" s="287">
        <v>10</v>
      </c>
      <c r="I75" s="151">
        <v>98401</v>
      </c>
      <c r="J75" s="287" t="s">
        <v>429</v>
      </c>
      <c r="K75" s="249">
        <v>138910</v>
      </c>
      <c r="L75" s="246" t="str">
        <f t="shared" si="13"/>
        <v>2 квартал 2012</v>
      </c>
      <c r="M75" s="249"/>
      <c r="N75" s="249"/>
      <c r="O75" s="287"/>
      <c r="P75" s="249"/>
      <c r="Q75" s="249"/>
      <c r="R75" s="249">
        <v>2</v>
      </c>
      <c r="S75" s="249">
        <v>30000</v>
      </c>
      <c r="T75" s="249">
        <v>5</v>
      </c>
      <c r="U75" s="249">
        <v>51910</v>
      </c>
      <c r="V75" s="249">
        <v>3</v>
      </c>
      <c r="W75" s="249">
        <v>57000</v>
      </c>
      <c r="X75" s="288"/>
      <c r="Y75" s="237">
        <f t="shared" si="1"/>
        <v>0</v>
      </c>
      <c r="Z75" s="237">
        <f t="shared" si="12"/>
        <v>0</v>
      </c>
    </row>
    <row r="76" spans="1:26" s="141" customFormat="1" ht="12.75" hidden="1" x14ac:dyDescent="0.2">
      <c r="A76" s="165"/>
      <c r="B76" s="165" t="s">
        <v>575</v>
      </c>
      <c r="C76" s="110">
        <v>5235020</v>
      </c>
      <c r="D76" s="285" t="s">
        <v>187</v>
      </c>
      <c r="E76" s="286"/>
      <c r="F76" s="110">
        <v>796</v>
      </c>
      <c r="G76" s="287" t="s">
        <v>17</v>
      </c>
      <c r="H76" s="287">
        <v>2</v>
      </c>
      <c r="I76" s="151">
        <v>98401</v>
      </c>
      <c r="J76" s="287" t="s">
        <v>429</v>
      </c>
      <c r="K76" s="249">
        <v>130000</v>
      </c>
      <c r="L76" s="246" t="str">
        <f t="shared" si="13"/>
        <v>3 квартал 2012</v>
      </c>
      <c r="M76" s="249"/>
      <c r="N76" s="249"/>
      <c r="O76" s="287"/>
      <c r="P76" s="249"/>
      <c r="Q76" s="249"/>
      <c r="R76" s="249"/>
      <c r="S76" s="249"/>
      <c r="T76" s="249">
        <v>1</v>
      </c>
      <c r="U76" s="249">
        <v>65000</v>
      </c>
      <c r="V76" s="249">
        <v>1</v>
      </c>
      <c r="W76" s="249">
        <v>65000</v>
      </c>
      <c r="X76" s="287"/>
      <c r="Y76" s="237">
        <f t="shared" si="1"/>
        <v>0</v>
      </c>
      <c r="Z76" s="237">
        <f t="shared" si="12"/>
        <v>0</v>
      </c>
    </row>
    <row r="77" spans="1:26" s="141" customFormat="1" ht="12.75" x14ac:dyDescent="0.2">
      <c r="A77" s="165"/>
      <c r="B77" s="165" t="s">
        <v>575</v>
      </c>
      <c r="C77" s="110">
        <v>5235020</v>
      </c>
      <c r="D77" s="285" t="s">
        <v>190</v>
      </c>
      <c r="E77" s="286"/>
      <c r="F77" s="110">
        <v>796</v>
      </c>
      <c r="G77" s="287" t="s">
        <v>17</v>
      </c>
      <c r="H77" s="287">
        <v>55</v>
      </c>
      <c r="I77" s="151">
        <v>98401</v>
      </c>
      <c r="J77" s="287" t="s">
        <v>429</v>
      </c>
      <c r="K77" s="249">
        <v>27500</v>
      </c>
      <c r="L77" s="246" t="str">
        <f t="shared" si="13"/>
        <v>1 квартал 2012</v>
      </c>
      <c r="M77" s="249"/>
      <c r="N77" s="249"/>
      <c r="O77" s="287"/>
      <c r="P77" s="249">
        <v>13</v>
      </c>
      <c r="Q77" s="249">
        <v>6500</v>
      </c>
      <c r="R77" s="249">
        <v>14</v>
      </c>
      <c r="S77" s="249">
        <v>7000</v>
      </c>
      <c r="T77" s="249">
        <v>14</v>
      </c>
      <c r="U77" s="249">
        <v>7000</v>
      </c>
      <c r="V77" s="249">
        <v>14</v>
      </c>
      <c r="W77" s="249">
        <v>7000</v>
      </c>
      <c r="X77" s="288"/>
      <c r="Y77" s="237">
        <f t="shared" si="1"/>
        <v>0</v>
      </c>
      <c r="Z77" s="237">
        <f t="shared" si="12"/>
        <v>0</v>
      </c>
    </row>
    <row r="78" spans="1:26" s="141" customFormat="1" ht="12.75" x14ac:dyDescent="0.2">
      <c r="A78" s="165"/>
      <c r="B78" s="165" t="s">
        <v>575</v>
      </c>
      <c r="C78" s="110">
        <v>5235020</v>
      </c>
      <c r="D78" s="285" t="s">
        <v>191</v>
      </c>
      <c r="E78" s="286"/>
      <c r="F78" s="110">
        <v>796</v>
      </c>
      <c r="G78" s="287" t="s">
        <v>17</v>
      </c>
      <c r="H78" s="287">
        <v>65</v>
      </c>
      <c r="I78" s="151">
        <v>98401</v>
      </c>
      <c r="J78" s="287" t="s">
        <v>429</v>
      </c>
      <c r="K78" s="249">
        <v>19500</v>
      </c>
      <c r="L78" s="246" t="str">
        <f t="shared" si="13"/>
        <v>1 квартал 2012</v>
      </c>
      <c r="M78" s="249"/>
      <c r="N78" s="249"/>
      <c r="O78" s="287"/>
      <c r="P78" s="249">
        <v>16</v>
      </c>
      <c r="Q78" s="249">
        <v>4800</v>
      </c>
      <c r="R78" s="249">
        <v>16</v>
      </c>
      <c r="S78" s="249">
        <v>4800</v>
      </c>
      <c r="T78" s="249">
        <v>16</v>
      </c>
      <c r="U78" s="249">
        <v>4800</v>
      </c>
      <c r="V78" s="249">
        <v>17</v>
      </c>
      <c r="W78" s="249">
        <v>5100</v>
      </c>
      <c r="X78" s="288"/>
      <c r="Y78" s="237">
        <f t="shared" si="1"/>
        <v>0</v>
      </c>
      <c r="Z78" s="237">
        <f t="shared" si="12"/>
        <v>0</v>
      </c>
    </row>
    <row r="79" spans="1:26" s="141" customFormat="1" ht="12.75" hidden="1" x14ac:dyDescent="0.2">
      <c r="A79" s="165"/>
      <c r="B79" s="165" t="s">
        <v>575</v>
      </c>
      <c r="C79" s="110">
        <v>5235020</v>
      </c>
      <c r="D79" s="285" t="s">
        <v>192</v>
      </c>
      <c r="E79" s="286"/>
      <c r="F79" s="110">
        <v>796</v>
      </c>
      <c r="G79" s="287" t="s">
        <v>17</v>
      </c>
      <c r="H79" s="287">
        <v>1</v>
      </c>
      <c r="I79" s="151">
        <v>98401</v>
      </c>
      <c r="J79" s="287" t="s">
        <v>429</v>
      </c>
      <c r="K79" s="249">
        <v>250000</v>
      </c>
      <c r="L79" s="246" t="str">
        <f t="shared" si="13"/>
        <v>4 квартал 2012</v>
      </c>
      <c r="M79" s="249"/>
      <c r="N79" s="249"/>
      <c r="O79" s="287"/>
      <c r="P79" s="249"/>
      <c r="Q79" s="249"/>
      <c r="R79" s="249"/>
      <c r="S79" s="249"/>
      <c r="T79" s="249"/>
      <c r="U79" s="249"/>
      <c r="V79" s="249">
        <v>1</v>
      </c>
      <c r="W79" s="249">
        <v>250000</v>
      </c>
      <c r="X79" s="288"/>
      <c r="Y79" s="237">
        <f t="shared" si="1"/>
        <v>0</v>
      </c>
      <c r="Z79" s="237">
        <f t="shared" si="12"/>
        <v>0</v>
      </c>
    </row>
    <row r="80" spans="1:26" s="141" customFormat="1" ht="12.75" x14ac:dyDescent="0.2">
      <c r="A80" s="165"/>
      <c r="B80" s="165" t="s">
        <v>575</v>
      </c>
      <c r="C80" s="110">
        <v>5235020</v>
      </c>
      <c r="D80" s="285" t="s">
        <v>193</v>
      </c>
      <c r="E80" s="286"/>
      <c r="F80" s="110">
        <v>796</v>
      </c>
      <c r="G80" s="287" t="s">
        <v>17</v>
      </c>
      <c r="H80" s="287">
        <v>85</v>
      </c>
      <c r="I80" s="151">
        <v>98401</v>
      </c>
      <c r="J80" s="287" t="s">
        <v>429</v>
      </c>
      <c r="K80" s="249">
        <v>76500</v>
      </c>
      <c r="L80" s="246" t="str">
        <f t="shared" si="13"/>
        <v>1 квартал 2012</v>
      </c>
      <c r="M80" s="249"/>
      <c r="N80" s="249"/>
      <c r="O80" s="287"/>
      <c r="P80" s="249">
        <v>21</v>
      </c>
      <c r="Q80" s="249">
        <v>18900</v>
      </c>
      <c r="R80" s="249">
        <v>21</v>
      </c>
      <c r="S80" s="249">
        <v>18900</v>
      </c>
      <c r="T80" s="249">
        <v>21</v>
      </c>
      <c r="U80" s="249">
        <v>18900</v>
      </c>
      <c r="V80" s="249">
        <v>22</v>
      </c>
      <c r="W80" s="249">
        <v>19800</v>
      </c>
      <c r="X80" s="288"/>
      <c r="Y80" s="237">
        <f t="shared" si="1"/>
        <v>0</v>
      </c>
      <c r="Z80" s="237">
        <f t="shared" si="12"/>
        <v>0</v>
      </c>
    </row>
    <row r="81" spans="1:26" s="141" customFormat="1" ht="25.5" x14ac:dyDescent="0.2">
      <c r="A81" s="165"/>
      <c r="B81" s="165" t="s">
        <v>575</v>
      </c>
      <c r="C81" s="110">
        <v>5235020</v>
      </c>
      <c r="D81" s="285" t="s">
        <v>194</v>
      </c>
      <c r="E81" s="286"/>
      <c r="F81" s="110">
        <v>796</v>
      </c>
      <c r="G81" s="287" t="s">
        <v>17</v>
      </c>
      <c r="H81" s="287">
        <v>2</v>
      </c>
      <c r="I81" s="151">
        <v>98401</v>
      </c>
      <c r="J81" s="287" t="s">
        <v>429</v>
      </c>
      <c r="K81" s="249">
        <v>11050</v>
      </c>
      <c r="L81" s="246" t="str">
        <f t="shared" si="13"/>
        <v>3 квартал 2012</v>
      </c>
      <c r="M81" s="249"/>
      <c r="N81" s="249"/>
      <c r="O81" s="287"/>
      <c r="P81" s="249"/>
      <c r="Q81" s="249"/>
      <c r="R81" s="249"/>
      <c r="S81" s="249"/>
      <c r="T81" s="249">
        <v>2</v>
      </c>
      <c r="U81" s="249">
        <v>11050</v>
      </c>
      <c r="V81" s="249"/>
      <c r="W81" s="249"/>
      <c r="X81" s="288"/>
      <c r="Y81" s="237">
        <f t="shared" si="1"/>
        <v>0</v>
      </c>
      <c r="Z81" s="237">
        <f t="shared" si="12"/>
        <v>0</v>
      </c>
    </row>
    <row r="82" spans="1:26" s="141" customFormat="1" ht="12.75" hidden="1" x14ac:dyDescent="0.2">
      <c r="A82" s="165"/>
      <c r="B82" s="165" t="s">
        <v>575</v>
      </c>
      <c r="C82" s="110">
        <v>5235020</v>
      </c>
      <c r="D82" s="285" t="s">
        <v>196</v>
      </c>
      <c r="E82" s="286"/>
      <c r="F82" s="110">
        <v>796</v>
      </c>
      <c r="G82" s="287" t="s">
        <v>17</v>
      </c>
      <c r="H82" s="287">
        <v>35</v>
      </c>
      <c r="I82" s="151">
        <v>98401</v>
      </c>
      <c r="J82" s="287" t="s">
        <v>429</v>
      </c>
      <c r="K82" s="249">
        <v>1242360</v>
      </c>
      <c r="L82" s="246" t="str">
        <f t="shared" si="13"/>
        <v>1 квартал 2012</v>
      </c>
      <c r="M82" s="249"/>
      <c r="N82" s="249"/>
      <c r="O82" s="287"/>
      <c r="P82" s="249">
        <v>5</v>
      </c>
      <c r="Q82" s="249">
        <v>160000</v>
      </c>
      <c r="R82" s="249"/>
      <c r="S82" s="249"/>
      <c r="T82" s="249">
        <v>11</v>
      </c>
      <c r="U82" s="249">
        <v>362360</v>
      </c>
      <c r="V82" s="249">
        <v>19</v>
      </c>
      <c r="W82" s="249">
        <v>720000</v>
      </c>
      <c r="X82" s="288"/>
      <c r="Y82" s="237">
        <f t="shared" si="1"/>
        <v>0</v>
      </c>
      <c r="Z82" s="237">
        <f t="shared" si="12"/>
        <v>0</v>
      </c>
    </row>
    <row r="83" spans="1:26" s="141" customFormat="1" ht="12.75" x14ac:dyDescent="0.2">
      <c r="A83" s="165"/>
      <c r="B83" s="165" t="s">
        <v>575</v>
      </c>
      <c r="C83" s="110">
        <v>5235020</v>
      </c>
      <c r="D83" s="285" t="s">
        <v>197</v>
      </c>
      <c r="E83" s="286"/>
      <c r="F83" s="110">
        <v>796</v>
      </c>
      <c r="G83" s="287" t="s">
        <v>17</v>
      </c>
      <c r="H83" s="287">
        <v>20</v>
      </c>
      <c r="I83" s="151">
        <v>98401</v>
      </c>
      <c r="J83" s="287" t="s">
        <v>429</v>
      </c>
      <c r="K83" s="249">
        <v>80000</v>
      </c>
      <c r="L83" s="246" t="str">
        <f t="shared" si="13"/>
        <v>1 квартал 2012</v>
      </c>
      <c r="M83" s="249"/>
      <c r="N83" s="249"/>
      <c r="O83" s="287"/>
      <c r="P83" s="249">
        <v>5</v>
      </c>
      <c r="Q83" s="249">
        <v>20000</v>
      </c>
      <c r="R83" s="191">
        <v>5</v>
      </c>
      <c r="S83" s="249">
        <v>20000</v>
      </c>
      <c r="T83" s="249">
        <v>5</v>
      </c>
      <c r="U83" s="249">
        <v>20000</v>
      </c>
      <c r="V83" s="249">
        <v>5</v>
      </c>
      <c r="W83" s="249">
        <v>20000</v>
      </c>
      <c r="X83" s="288"/>
      <c r="Y83" s="237">
        <f t="shared" ref="Y83:Y142" si="14">H83-P83-R83-T83-V83</f>
        <v>0</v>
      </c>
      <c r="Z83" s="237">
        <f t="shared" si="12"/>
        <v>0</v>
      </c>
    </row>
    <row r="84" spans="1:26" s="141" customFormat="1" ht="12.75" x14ac:dyDescent="0.2">
      <c r="A84" s="165"/>
      <c r="B84" s="165" t="s">
        <v>575</v>
      </c>
      <c r="C84" s="110">
        <v>5235020</v>
      </c>
      <c r="D84" s="285" t="s">
        <v>198</v>
      </c>
      <c r="E84" s="286"/>
      <c r="F84" s="110">
        <v>796</v>
      </c>
      <c r="G84" s="287" t="s">
        <v>17</v>
      </c>
      <c r="H84" s="287">
        <v>4</v>
      </c>
      <c r="I84" s="151">
        <v>98401</v>
      </c>
      <c r="J84" s="287" t="s">
        <v>429</v>
      </c>
      <c r="K84" s="249">
        <v>8000</v>
      </c>
      <c r="L84" s="246" t="str">
        <f t="shared" si="13"/>
        <v>1 квартал 2012</v>
      </c>
      <c r="M84" s="249"/>
      <c r="N84" s="249"/>
      <c r="O84" s="287"/>
      <c r="P84" s="249">
        <v>1</v>
      </c>
      <c r="Q84" s="249">
        <v>2000</v>
      </c>
      <c r="R84" s="191">
        <v>1</v>
      </c>
      <c r="S84" s="249">
        <v>2000</v>
      </c>
      <c r="T84" s="249">
        <v>1</v>
      </c>
      <c r="U84" s="249">
        <v>2000</v>
      </c>
      <c r="V84" s="249">
        <v>1</v>
      </c>
      <c r="W84" s="249">
        <v>2000</v>
      </c>
      <c r="X84" s="288"/>
      <c r="Y84" s="237">
        <f t="shared" si="14"/>
        <v>0</v>
      </c>
      <c r="Z84" s="237">
        <f t="shared" si="12"/>
        <v>0</v>
      </c>
    </row>
    <row r="85" spans="1:26" s="141" customFormat="1" ht="12.75" hidden="1" x14ac:dyDescent="0.2">
      <c r="A85" s="165"/>
      <c r="B85" s="165" t="s">
        <v>575</v>
      </c>
      <c r="C85" s="110">
        <v>5235020</v>
      </c>
      <c r="D85" s="285" t="s">
        <v>199</v>
      </c>
      <c r="E85" s="286"/>
      <c r="F85" s="110">
        <v>796</v>
      </c>
      <c r="G85" s="287" t="s">
        <v>17</v>
      </c>
      <c r="H85" s="287">
        <v>700</v>
      </c>
      <c r="I85" s="151">
        <v>98401</v>
      </c>
      <c r="J85" s="287" t="s">
        <v>429</v>
      </c>
      <c r="K85" s="249">
        <v>1400000</v>
      </c>
      <c r="L85" s="246" t="str">
        <f t="shared" si="13"/>
        <v>1 квартал 2012</v>
      </c>
      <c r="M85" s="249"/>
      <c r="N85" s="249"/>
      <c r="O85" s="287"/>
      <c r="P85" s="249">
        <v>175</v>
      </c>
      <c r="Q85" s="249">
        <v>350000</v>
      </c>
      <c r="R85" s="249">
        <v>175</v>
      </c>
      <c r="S85" s="249">
        <v>350000</v>
      </c>
      <c r="T85" s="249">
        <v>175</v>
      </c>
      <c r="U85" s="249">
        <v>350000</v>
      </c>
      <c r="V85" s="249">
        <v>175</v>
      </c>
      <c r="W85" s="249">
        <v>350000</v>
      </c>
      <c r="X85" s="288"/>
      <c r="Y85" s="237">
        <f t="shared" si="14"/>
        <v>0</v>
      </c>
      <c r="Z85" s="237">
        <f t="shared" si="12"/>
        <v>0</v>
      </c>
    </row>
    <row r="86" spans="1:26" s="141" customFormat="1" ht="25.5" x14ac:dyDescent="0.2">
      <c r="A86" s="165"/>
      <c r="B86" s="165" t="s">
        <v>410</v>
      </c>
      <c r="C86" s="110">
        <v>5235020</v>
      </c>
      <c r="D86" s="285" t="s">
        <v>200</v>
      </c>
      <c r="E86" s="286"/>
      <c r="F86" s="110">
        <v>796</v>
      </c>
      <c r="G86" s="287" t="s">
        <v>17</v>
      </c>
      <c r="H86" s="287">
        <v>35</v>
      </c>
      <c r="I86" s="151">
        <v>98401</v>
      </c>
      <c r="J86" s="287" t="s">
        <v>429</v>
      </c>
      <c r="K86" s="249">
        <v>70000</v>
      </c>
      <c r="L86" s="246" t="str">
        <f t="shared" si="13"/>
        <v>2 квартал 2012</v>
      </c>
      <c r="M86" s="249"/>
      <c r="N86" s="249"/>
      <c r="O86" s="287"/>
      <c r="P86" s="249"/>
      <c r="Q86" s="249"/>
      <c r="R86" s="191">
        <v>35</v>
      </c>
      <c r="S86" s="249">
        <v>70000</v>
      </c>
      <c r="T86" s="249"/>
      <c r="U86" s="249"/>
      <c r="V86" s="249"/>
      <c r="W86" s="249"/>
      <c r="X86" s="288"/>
      <c r="Y86" s="237">
        <f t="shared" si="14"/>
        <v>0</v>
      </c>
      <c r="Z86" s="237">
        <f t="shared" si="12"/>
        <v>0</v>
      </c>
    </row>
    <row r="87" spans="1:26" s="141" customFormat="1" ht="12.75" hidden="1" x14ac:dyDescent="0.2">
      <c r="A87" s="165"/>
      <c r="B87" s="165" t="s">
        <v>410</v>
      </c>
      <c r="C87" s="110">
        <v>5235020</v>
      </c>
      <c r="D87" s="285" t="s">
        <v>201</v>
      </c>
      <c r="E87" s="286"/>
      <c r="F87" s="110">
        <v>796</v>
      </c>
      <c r="G87" s="287" t="s">
        <v>17</v>
      </c>
      <c r="H87" s="287">
        <v>21</v>
      </c>
      <c r="I87" s="151">
        <v>98401</v>
      </c>
      <c r="J87" s="287" t="s">
        <v>429</v>
      </c>
      <c r="K87" s="249">
        <v>2068370</v>
      </c>
      <c r="L87" s="246" t="str">
        <f t="shared" si="13"/>
        <v>3 квартал 2012</v>
      </c>
      <c r="M87" s="249"/>
      <c r="N87" s="249"/>
      <c r="O87" s="287"/>
      <c r="P87" s="249"/>
      <c r="Q87" s="249"/>
      <c r="R87" s="191"/>
      <c r="S87" s="249"/>
      <c r="T87" s="249">
        <v>20</v>
      </c>
      <c r="U87" s="249">
        <v>568370</v>
      </c>
      <c r="V87" s="249">
        <v>1</v>
      </c>
      <c r="W87" s="249">
        <v>1500000</v>
      </c>
      <c r="X87" s="288"/>
      <c r="Y87" s="237">
        <f t="shared" si="14"/>
        <v>0</v>
      </c>
      <c r="Z87" s="237">
        <f t="shared" si="12"/>
        <v>0</v>
      </c>
    </row>
    <row r="88" spans="1:26" s="141" customFormat="1" ht="12.75" x14ac:dyDescent="0.2">
      <c r="A88" s="165"/>
      <c r="B88" s="165" t="s">
        <v>410</v>
      </c>
      <c r="C88" s="110">
        <v>5235020</v>
      </c>
      <c r="D88" s="285" t="s">
        <v>202</v>
      </c>
      <c r="E88" s="286"/>
      <c r="F88" s="110">
        <v>796</v>
      </c>
      <c r="G88" s="287" t="s">
        <v>17</v>
      </c>
      <c r="H88" s="287">
        <v>4</v>
      </c>
      <c r="I88" s="151">
        <v>98401</v>
      </c>
      <c r="J88" s="287" t="s">
        <v>429</v>
      </c>
      <c r="K88" s="249">
        <v>14000</v>
      </c>
      <c r="L88" s="246" t="str">
        <f t="shared" si="13"/>
        <v>3 квартал 2012</v>
      </c>
      <c r="M88" s="249"/>
      <c r="N88" s="249"/>
      <c r="O88" s="287"/>
      <c r="P88" s="249"/>
      <c r="Q88" s="249"/>
      <c r="R88" s="191"/>
      <c r="S88" s="249"/>
      <c r="T88" s="249">
        <v>4</v>
      </c>
      <c r="U88" s="249">
        <v>14000</v>
      </c>
      <c r="V88" s="249"/>
      <c r="W88" s="249"/>
      <c r="X88" s="288"/>
      <c r="Y88" s="237">
        <f t="shared" si="14"/>
        <v>0</v>
      </c>
      <c r="Z88" s="237">
        <f t="shared" si="12"/>
        <v>0</v>
      </c>
    </row>
    <row r="89" spans="1:26" s="141" customFormat="1" ht="12.75" x14ac:dyDescent="0.2">
      <c r="A89" s="165"/>
      <c r="B89" s="165" t="s">
        <v>410</v>
      </c>
      <c r="C89" s="110">
        <v>5235020</v>
      </c>
      <c r="D89" s="285" t="s">
        <v>203</v>
      </c>
      <c r="E89" s="286"/>
      <c r="F89" s="110">
        <v>796</v>
      </c>
      <c r="G89" s="287" t="s">
        <v>17</v>
      </c>
      <c r="H89" s="287">
        <v>1</v>
      </c>
      <c r="I89" s="151">
        <v>98401</v>
      </c>
      <c r="J89" s="287" t="s">
        <v>429</v>
      </c>
      <c r="K89" s="249">
        <v>65000</v>
      </c>
      <c r="L89" s="246" t="str">
        <f t="shared" si="13"/>
        <v>3 квартал 2012</v>
      </c>
      <c r="M89" s="249"/>
      <c r="N89" s="249"/>
      <c r="O89" s="287"/>
      <c r="P89" s="249"/>
      <c r="Q89" s="249"/>
      <c r="R89" s="191"/>
      <c r="S89" s="249"/>
      <c r="T89" s="249">
        <v>1</v>
      </c>
      <c r="U89" s="249">
        <v>65000</v>
      </c>
      <c r="V89" s="249"/>
      <c r="W89" s="249"/>
      <c r="X89" s="288"/>
      <c r="Y89" s="237">
        <f t="shared" si="14"/>
        <v>0</v>
      </c>
      <c r="Z89" s="237">
        <f t="shared" si="12"/>
        <v>0</v>
      </c>
    </row>
    <row r="90" spans="1:26" s="141" customFormat="1" ht="12.75" x14ac:dyDescent="0.2">
      <c r="A90" s="165"/>
      <c r="B90" s="165" t="s">
        <v>410</v>
      </c>
      <c r="C90" s="110">
        <v>5235020</v>
      </c>
      <c r="D90" s="285" t="s">
        <v>204</v>
      </c>
      <c r="E90" s="286"/>
      <c r="F90" s="110">
        <v>796</v>
      </c>
      <c r="G90" s="287" t="s">
        <v>17</v>
      </c>
      <c r="H90" s="287">
        <v>1</v>
      </c>
      <c r="I90" s="151">
        <v>98401</v>
      </c>
      <c r="J90" s="287" t="s">
        <v>429</v>
      </c>
      <c r="K90" s="249">
        <v>5000</v>
      </c>
      <c r="L90" s="246" t="str">
        <f t="shared" si="13"/>
        <v>3 квартал 2012</v>
      </c>
      <c r="M90" s="249"/>
      <c r="N90" s="249"/>
      <c r="O90" s="287"/>
      <c r="P90" s="249"/>
      <c r="Q90" s="249"/>
      <c r="R90" s="191"/>
      <c r="S90" s="249"/>
      <c r="T90" s="249">
        <v>1</v>
      </c>
      <c r="U90" s="249">
        <v>5000</v>
      </c>
      <c r="V90" s="249"/>
      <c r="W90" s="249"/>
      <c r="X90" s="288"/>
      <c r="Y90" s="237">
        <f t="shared" si="14"/>
        <v>0</v>
      </c>
      <c r="Z90" s="237">
        <f t="shared" si="12"/>
        <v>0</v>
      </c>
    </row>
    <row r="91" spans="1:26" s="141" customFormat="1" ht="12.75" x14ac:dyDescent="0.2">
      <c r="A91" s="165"/>
      <c r="B91" s="165" t="s">
        <v>410</v>
      </c>
      <c r="C91" s="110">
        <v>5235020</v>
      </c>
      <c r="D91" s="285" t="s">
        <v>205</v>
      </c>
      <c r="E91" s="286"/>
      <c r="F91" s="110">
        <v>796</v>
      </c>
      <c r="G91" s="287" t="s">
        <v>17</v>
      </c>
      <c r="H91" s="287">
        <v>3</v>
      </c>
      <c r="I91" s="151">
        <v>98401</v>
      </c>
      <c r="J91" s="287" t="s">
        <v>429</v>
      </c>
      <c r="K91" s="249">
        <v>25170</v>
      </c>
      <c r="L91" s="246" t="str">
        <f t="shared" si="13"/>
        <v>3 квартал 2012</v>
      </c>
      <c r="M91" s="249"/>
      <c r="N91" s="249"/>
      <c r="O91" s="287"/>
      <c r="P91" s="249"/>
      <c r="Q91" s="249"/>
      <c r="R91" s="191"/>
      <c r="S91" s="249"/>
      <c r="T91" s="249">
        <v>3</v>
      </c>
      <c r="U91" s="249">
        <v>25170</v>
      </c>
      <c r="V91" s="249"/>
      <c r="W91" s="249"/>
      <c r="X91" s="288"/>
      <c r="Y91" s="237">
        <f t="shared" si="14"/>
        <v>0</v>
      </c>
      <c r="Z91" s="237">
        <f t="shared" si="12"/>
        <v>0</v>
      </c>
    </row>
    <row r="92" spans="1:26" s="141" customFormat="1" ht="12.75" x14ac:dyDescent="0.2">
      <c r="A92" s="165"/>
      <c r="B92" s="165" t="s">
        <v>410</v>
      </c>
      <c r="C92" s="110">
        <v>5235020</v>
      </c>
      <c r="D92" s="285" t="s">
        <v>206</v>
      </c>
      <c r="E92" s="286"/>
      <c r="F92" s="110">
        <v>796</v>
      </c>
      <c r="G92" s="287" t="s">
        <v>17</v>
      </c>
      <c r="H92" s="287">
        <v>1</v>
      </c>
      <c r="I92" s="151">
        <v>98401</v>
      </c>
      <c r="J92" s="287" t="s">
        <v>429</v>
      </c>
      <c r="K92" s="249">
        <v>25000</v>
      </c>
      <c r="L92" s="246" t="str">
        <f t="shared" si="13"/>
        <v>3 квартал 2012</v>
      </c>
      <c r="M92" s="249"/>
      <c r="N92" s="249"/>
      <c r="O92" s="287"/>
      <c r="P92" s="249"/>
      <c r="Q92" s="249"/>
      <c r="R92" s="191"/>
      <c r="S92" s="249"/>
      <c r="T92" s="249">
        <v>1</v>
      </c>
      <c r="U92" s="249">
        <v>25000</v>
      </c>
      <c r="V92" s="249"/>
      <c r="W92" s="249"/>
      <c r="X92" s="288"/>
      <c r="Y92" s="237">
        <f t="shared" si="14"/>
        <v>0</v>
      </c>
      <c r="Z92" s="237">
        <f t="shared" si="12"/>
        <v>0</v>
      </c>
    </row>
    <row r="93" spans="1:26" s="141" customFormat="1" ht="12.75" x14ac:dyDescent="0.2">
      <c r="A93" s="165"/>
      <c r="B93" s="165" t="s">
        <v>410</v>
      </c>
      <c r="C93" s="110">
        <v>5235020</v>
      </c>
      <c r="D93" s="285" t="s">
        <v>207</v>
      </c>
      <c r="E93" s="286"/>
      <c r="F93" s="110">
        <v>796</v>
      </c>
      <c r="G93" s="287" t="s">
        <v>17</v>
      </c>
      <c r="H93" s="287">
        <v>1</v>
      </c>
      <c r="I93" s="151">
        <v>98401</v>
      </c>
      <c r="J93" s="287" t="s">
        <v>429</v>
      </c>
      <c r="K93" s="249">
        <v>8000</v>
      </c>
      <c r="L93" s="246" t="str">
        <f t="shared" si="13"/>
        <v>3 квартал 2012</v>
      </c>
      <c r="M93" s="249"/>
      <c r="N93" s="249"/>
      <c r="O93" s="287"/>
      <c r="P93" s="249"/>
      <c r="Q93" s="249"/>
      <c r="R93" s="191"/>
      <c r="S93" s="249"/>
      <c r="T93" s="249">
        <v>1</v>
      </c>
      <c r="U93" s="249">
        <v>8000</v>
      </c>
      <c r="V93" s="249"/>
      <c r="W93" s="249"/>
      <c r="X93" s="288"/>
      <c r="Y93" s="237">
        <f t="shared" si="14"/>
        <v>0</v>
      </c>
      <c r="Z93" s="237">
        <f t="shared" si="12"/>
        <v>0</v>
      </c>
    </row>
    <row r="94" spans="1:26" s="141" customFormat="1" ht="12.75" x14ac:dyDescent="0.2">
      <c r="A94" s="165"/>
      <c r="B94" s="165" t="s">
        <v>426</v>
      </c>
      <c r="C94" s="110">
        <v>2930010</v>
      </c>
      <c r="D94" s="285" t="s">
        <v>335</v>
      </c>
      <c r="E94" s="286"/>
      <c r="F94" s="110">
        <v>796</v>
      </c>
      <c r="G94" s="287" t="s">
        <v>17</v>
      </c>
      <c r="H94" s="287">
        <v>6</v>
      </c>
      <c r="I94" s="151">
        <v>98401</v>
      </c>
      <c r="J94" s="287" t="s">
        <v>429</v>
      </c>
      <c r="K94" s="249">
        <v>52600</v>
      </c>
      <c r="L94" s="246" t="str">
        <f t="shared" si="13"/>
        <v>3 квартал 2012</v>
      </c>
      <c r="M94" s="249"/>
      <c r="N94" s="249"/>
      <c r="O94" s="287"/>
      <c r="P94" s="249"/>
      <c r="Q94" s="249"/>
      <c r="R94" s="191"/>
      <c r="S94" s="249"/>
      <c r="T94" s="249">
        <v>6</v>
      </c>
      <c r="U94" s="249">
        <v>52600</v>
      </c>
      <c r="V94" s="249"/>
      <c r="W94" s="249"/>
      <c r="X94" s="288"/>
      <c r="Y94" s="237">
        <f t="shared" si="14"/>
        <v>0</v>
      </c>
      <c r="Z94" s="237">
        <f t="shared" si="12"/>
        <v>0</v>
      </c>
    </row>
    <row r="95" spans="1:26" s="141" customFormat="1" ht="12.75" x14ac:dyDescent="0.2">
      <c r="A95" s="165"/>
      <c r="B95" s="165" t="s">
        <v>426</v>
      </c>
      <c r="C95" s="110">
        <v>3320000</v>
      </c>
      <c r="D95" s="285" t="s">
        <v>208</v>
      </c>
      <c r="E95" s="286"/>
      <c r="F95" s="110">
        <v>796</v>
      </c>
      <c r="G95" s="287" t="s">
        <v>17</v>
      </c>
      <c r="H95" s="287">
        <v>1</v>
      </c>
      <c r="I95" s="151">
        <v>98401</v>
      </c>
      <c r="J95" s="287" t="s">
        <v>429</v>
      </c>
      <c r="K95" s="249">
        <v>35000</v>
      </c>
      <c r="L95" s="246" t="str">
        <f t="shared" si="13"/>
        <v>3 квартал 2012</v>
      </c>
      <c r="M95" s="249"/>
      <c r="N95" s="249"/>
      <c r="O95" s="287"/>
      <c r="P95" s="249"/>
      <c r="Q95" s="249"/>
      <c r="R95" s="191"/>
      <c r="S95" s="249"/>
      <c r="T95" s="249">
        <v>1</v>
      </c>
      <c r="U95" s="249">
        <v>35000</v>
      </c>
      <c r="V95" s="249"/>
      <c r="W95" s="249"/>
      <c r="X95" s="288"/>
      <c r="Y95" s="237">
        <f t="shared" si="14"/>
        <v>0</v>
      </c>
      <c r="Z95" s="237">
        <f t="shared" si="12"/>
        <v>0</v>
      </c>
    </row>
    <row r="96" spans="1:26" s="141" customFormat="1" ht="12.75" x14ac:dyDescent="0.2">
      <c r="A96" s="165"/>
      <c r="B96" s="165" t="s">
        <v>427</v>
      </c>
      <c r="C96" s="110">
        <v>3230020</v>
      </c>
      <c r="D96" s="285" t="s">
        <v>209</v>
      </c>
      <c r="E96" s="286"/>
      <c r="F96" s="110">
        <v>796</v>
      </c>
      <c r="G96" s="287" t="s">
        <v>17</v>
      </c>
      <c r="H96" s="287">
        <v>1</v>
      </c>
      <c r="I96" s="151">
        <v>98401</v>
      </c>
      <c r="J96" s="287" t="s">
        <v>429</v>
      </c>
      <c r="K96" s="249">
        <v>2990</v>
      </c>
      <c r="L96" s="246" t="str">
        <f t="shared" ref="L96:L115" si="15">IF(Q96&gt;0,"1 квартал 2012",IF(S96&gt;0,"2 квартал 2012",IF(U96&gt;0,"3 квартал 2012","4 квартал 2012")))</f>
        <v>3 квартал 2012</v>
      </c>
      <c r="M96" s="249"/>
      <c r="N96" s="249"/>
      <c r="O96" s="287"/>
      <c r="P96" s="249"/>
      <c r="Q96" s="249"/>
      <c r="R96" s="191"/>
      <c r="S96" s="249"/>
      <c r="T96" s="249">
        <v>1</v>
      </c>
      <c r="U96" s="249">
        <v>2990</v>
      </c>
      <c r="V96" s="249"/>
      <c r="W96" s="249"/>
      <c r="X96" s="288"/>
      <c r="Y96" s="237">
        <f t="shared" si="14"/>
        <v>0</v>
      </c>
      <c r="Z96" s="237">
        <f t="shared" si="12"/>
        <v>0</v>
      </c>
    </row>
    <row r="97" spans="1:26" s="141" customFormat="1" ht="12.75" x14ac:dyDescent="0.2">
      <c r="A97" s="165"/>
      <c r="B97" s="165" t="s">
        <v>427</v>
      </c>
      <c r="C97" s="110">
        <v>5235020</v>
      </c>
      <c r="D97" s="285" t="s">
        <v>210</v>
      </c>
      <c r="E97" s="286"/>
      <c r="F97" s="110">
        <v>796</v>
      </c>
      <c r="G97" s="287" t="s">
        <v>17</v>
      </c>
      <c r="H97" s="287">
        <v>1</v>
      </c>
      <c r="I97" s="151">
        <v>98401</v>
      </c>
      <c r="J97" s="287" t="s">
        <v>429</v>
      </c>
      <c r="K97" s="249">
        <v>15600</v>
      </c>
      <c r="L97" s="246" t="str">
        <f t="shared" si="15"/>
        <v>3 квартал 2012</v>
      </c>
      <c r="M97" s="249"/>
      <c r="N97" s="249"/>
      <c r="O97" s="287"/>
      <c r="P97" s="249"/>
      <c r="Q97" s="249"/>
      <c r="R97" s="191"/>
      <c r="S97" s="249"/>
      <c r="T97" s="249">
        <v>1</v>
      </c>
      <c r="U97" s="249">
        <v>15600</v>
      </c>
      <c r="V97" s="249"/>
      <c r="W97" s="249"/>
      <c r="X97" s="288"/>
      <c r="Y97" s="237">
        <f t="shared" si="14"/>
        <v>0</v>
      </c>
      <c r="Z97" s="237">
        <f t="shared" si="12"/>
        <v>0</v>
      </c>
    </row>
    <row r="98" spans="1:26" s="141" customFormat="1" ht="12.75" x14ac:dyDescent="0.2">
      <c r="A98" s="165"/>
      <c r="B98" s="165" t="s">
        <v>427</v>
      </c>
      <c r="C98" s="110">
        <v>5235020</v>
      </c>
      <c r="D98" s="285" t="s">
        <v>330</v>
      </c>
      <c r="E98" s="286"/>
      <c r="F98" s="110">
        <v>796</v>
      </c>
      <c r="G98" s="287" t="s">
        <v>17</v>
      </c>
      <c r="H98" s="287">
        <v>2</v>
      </c>
      <c r="I98" s="151">
        <v>98401</v>
      </c>
      <c r="J98" s="287" t="s">
        <v>429</v>
      </c>
      <c r="K98" s="249">
        <v>28200</v>
      </c>
      <c r="L98" s="246" t="str">
        <f t="shared" si="15"/>
        <v>3 квартал 2012</v>
      </c>
      <c r="M98" s="249"/>
      <c r="N98" s="249"/>
      <c r="O98" s="287"/>
      <c r="P98" s="249"/>
      <c r="Q98" s="249"/>
      <c r="R98" s="191"/>
      <c r="S98" s="249"/>
      <c r="T98" s="249">
        <v>2</v>
      </c>
      <c r="U98" s="249">
        <v>28200</v>
      </c>
      <c r="V98" s="249"/>
      <c r="W98" s="249"/>
      <c r="X98" s="288"/>
      <c r="Y98" s="237">
        <f t="shared" si="14"/>
        <v>0</v>
      </c>
      <c r="Z98" s="237">
        <f t="shared" si="12"/>
        <v>0</v>
      </c>
    </row>
    <row r="99" spans="1:26" s="141" customFormat="1" ht="12.75" x14ac:dyDescent="0.2">
      <c r="A99" s="165"/>
      <c r="B99" s="165" t="s">
        <v>427</v>
      </c>
      <c r="C99" s="110">
        <v>3221000</v>
      </c>
      <c r="D99" s="285" t="s">
        <v>332</v>
      </c>
      <c r="E99" s="286"/>
      <c r="F99" s="110">
        <v>796</v>
      </c>
      <c r="G99" s="287" t="s">
        <v>17</v>
      </c>
      <c r="H99" s="287">
        <v>7</v>
      </c>
      <c r="I99" s="151">
        <v>98401</v>
      </c>
      <c r="J99" s="287" t="s">
        <v>429</v>
      </c>
      <c r="K99" s="249">
        <v>95000</v>
      </c>
      <c r="L99" s="246" t="str">
        <f t="shared" si="15"/>
        <v>3 квартал 2012</v>
      </c>
      <c r="M99" s="249"/>
      <c r="N99" s="249"/>
      <c r="O99" s="287"/>
      <c r="P99" s="249"/>
      <c r="Q99" s="249"/>
      <c r="R99" s="191"/>
      <c r="S99" s="249"/>
      <c r="T99" s="249">
        <v>7</v>
      </c>
      <c r="U99" s="249">
        <v>95000</v>
      </c>
      <c r="V99" s="249"/>
      <c r="W99" s="249"/>
      <c r="X99" s="288"/>
      <c r="Y99" s="237">
        <f t="shared" si="14"/>
        <v>0</v>
      </c>
      <c r="Z99" s="237">
        <f t="shared" si="12"/>
        <v>0</v>
      </c>
    </row>
    <row r="100" spans="1:26" s="141" customFormat="1" ht="12.75" x14ac:dyDescent="0.2">
      <c r="A100" s="165"/>
      <c r="B100" s="165" t="s">
        <v>427</v>
      </c>
      <c r="C100" s="110">
        <v>3221000</v>
      </c>
      <c r="D100" s="285" t="s">
        <v>349</v>
      </c>
      <c r="E100" s="286"/>
      <c r="F100" s="110">
        <v>796</v>
      </c>
      <c r="G100" s="287" t="s">
        <v>17</v>
      </c>
      <c r="H100" s="287">
        <v>3</v>
      </c>
      <c r="I100" s="151">
        <v>98401</v>
      </c>
      <c r="J100" s="287" t="s">
        <v>429</v>
      </c>
      <c r="K100" s="249">
        <v>95000</v>
      </c>
      <c r="L100" s="246" t="str">
        <f t="shared" si="15"/>
        <v>3 квартал 2012</v>
      </c>
      <c r="M100" s="249"/>
      <c r="N100" s="249"/>
      <c r="O100" s="287"/>
      <c r="P100" s="249"/>
      <c r="Q100" s="249"/>
      <c r="R100" s="191"/>
      <c r="S100" s="249"/>
      <c r="T100" s="249">
        <v>3</v>
      </c>
      <c r="U100" s="249">
        <v>95000</v>
      </c>
      <c r="V100" s="249"/>
      <c r="W100" s="249"/>
      <c r="X100" s="288"/>
      <c r="Y100" s="237">
        <f t="shared" si="14"/>
        <v>0</v>
      </c>
      <c r="Z100" s="237">
        <f t="shared" ref="Z100:Z137" si="16">K100-Q100-S100-U100-W100</f>
        <v>0</v>
      </c>
    </row>
    <row r="101" spans="1:26" s="141" customFormat="1" ht="12.75" x14ac:dyDescent="0.2">
      <c r="A101" s="165"/>
      <c r="B101" s="165" t="s">
        <v>427</v>
      </c>
      <c r="C101" s="110">
        <v>3221000</v>
      </c>
      <c r="D101" s="285" t="s">
        <v>340</v>
      </c>
      <c r="E101" s="286"/>
      <c r="F101" s="110">
        <v>796</v>
      </c>
      <c r="G101" s="287" t="s">
        <v>17</v>
      </c>
      <c r="H101" s="287">
        <v>3</v>
      </c>
      <c r="I101" s="151">
        <v>98401</v>
      </c>
      <c r="J101" s="287" t="s">
        <v>429</v>
      </c>
      <c r="K101" s="249">
        <v>1710</v>
      </c>
      <c r="L101" s="246" t="str">
        <f t="shared" si="15"/>
        <v>3 квартал 2012</v>
      </c>
      <c r="M101" s="249"/>
      <c r="N101" s="249"/>
      <c r="O101" s="287"/>
      <c r="P101" s="249"/>
      <c r="Q101" s="249"/>
      <c r="R101" s="191"/>
      <c r="S101" s="249"/>
      <c r="T101" s="249">
        <v>3</v>
      </c>
      <c r="U101" s="249">
        <v>1710</v>
      </c>
      <c r="V101" s="249"/>
      <c r="W101" s="249"/>
      <c r="X101" s="288"/>
      <c r="Y101" s="237">
        <f t="shared" si="14"/>
        <v>0</v>
      </c>
      <c r="Z101" s="237">
        <f t="shared" si="16"/>
        <v>0</v>
      </c>
    </row>
    <row r="102" spans="1:26" s="141" customFormat="1" ht="12.75" x14ac:dyDescent="0.2">
      <c r="A102" s="165"/>
      <c r="B102" s="165" t="s">
        <v>427</v>
      </c>
      <c r="C102" s="110">
        <v>3221000</v>
      </c>
      <c r="D102" s="285" t="s">
        <v>341</v>
      </c>
      <c r="E102" s="286"/>
      <c r="F102" s="110">
        <v>796</v>
      </c>
      <c r="G102" s="287" t="s">
        <v>17</v>
      </c>
      <c r="H102" s="287">
        <v>1</v>
      </c>
      <c r="I102" s="151">
        <v>98401</v>
      </c>
      <c r="J102" s="287" t="s">
        <v>429</v>
      </c>
      <c r="K102" s="249">
        <v>1050</v>
      </c>
      <c r="L102" s="246" t="str">
        <f t="shared" si="15"/>
        <v>3 квартал 2012</v>
      </c>
      <c r="M102" s="249"/>
      <c r="N102" s="249"/>
      <c r="O102" s="287"/>
      <c r="P102" s="249"/>
      <c r="Q102" s="249"/>
      <c r="R102" s="191"/>
      <c r="S102" s="249"/>
      <c r="T102" s="249">
        <v>1</v>
      </c>
      <c r="U102" s="249">
        <v>1050</v>
      </c>
      <c r="V102" s="249"/>
      <c r="W102" s="249"/>
      <c r="X102" s="288"/>
      <c r="Y102" s="237">
        <f t="shared" si="14"/>
        <v>0</v>
      </c>
      <c r="Z102" s="237">
        <f t="shared" si="16"/>
        <v>0</v>
      </c>
    </row>
    <row r="103" spans="1:26" s="141" customFormat="1" ht="12.75" x14ac:dyDescent="0.2">
      <c r="A103" s="165"/>
      <c r="B103" s="165" t="s">
        <v>427</v>
      </c>
      <c r="C103" s="110">
        <v>3221000</v>
      </c>
      <c r="D103" s="285" t="s">
        <v>207</v>
      </c>
      <c r="E103" s="286"/>
      <c r="F103" s="110">
        <v>796</v>
      </c>
      <c r="G103" s="287" t="s">
        <v>17</v>
      </c>
      <c r="H103" s="287">
        <v>2</v>
      </c>
      <c r="I103" s="151">
        <v>98401</v>
      </c>
      <c r="J103" s="287" t="s">
        <v>429</v>
      </c>
      <c r="K103" s="249">
        <v>11980</v>
      </c>
      <c r="L103" s="246" t="str">
        <f t="shared" si="15"/>
        <v>3 квартал 2012</v>
      </c>
      <c r="M103" s="249"/>
      <c r="N103" s="249"/>
      <c r="O103" s="287"/>
      <c r="P103" s="249"/>
      <c r="Q103" s="249"/>
      <c r="R103" s="191"/>
      <c r="S103" s="249"/>
      <c r="T103" s="249">
        <v>2</v>
      </c>
      <c r="U103" s="249">
        <v>11980</v>
      </c>
      <c r="V103" s="249"/>
      <c r="W103" s="249"/>
      <c r="X103" s="288"/>
      <c r="Y103" s="237">
        <f t="shared" si="14"/>
        <v>0</v>
      </c>
      <c r="Z103" s="237">
        <f t="shared" si="16"/>
        <v>0</v>
      </c>
    </row>
    <row r="104" spans="1:26" s="141" customFormat="1" ht="25.5" x14ac:dyDescent="0.2">
      <c r="A104" s="165"/>
      <c r="B104" s="165" t="s">
        <v>427</v>
      </c>
      <c r="C104" s="110">
        <v>3320000</v>
      </c>
      <c r="D104" s="285" t="s">
        <v>342</v>
      </c>
      <c r="E104" s="286"/>
      <c r="F104" s="110">
        <v>796</v>
      </c>
      <c r="G104" s="287" t="s">
        <v>17</v>
      </c>
      <c r="H104" s="287">
        <v>3</v>
      </c>
      <c r="I104" s="151">
        <v>98401</v>
      </c>
      <c r="J104" s="287" t="s">
        <v>429</v>
      </c>
      <c r="K104" s="249">
        <v>17070</v>
      </c>
      <c r="L104" s="246" t="str">
        <f t="shared" si="15"/>
        <v>3 квартал 2012</v>
      </c>
      <c r="M104" s="249"/>
      <c r="N104" s="249"/>
      <c r="O104" s="287"/>
      <c r="P104" s="249"/>
      <c r="Q104" s="249"/>
      <c r="R104" s="191"/>
      <c r="S104" s="249"/>
      <c r="T104" s="249">
        <v>3</v>
      </c>
      <c r="U104" s="249">
        <v>17070</v>
      </c>
      <c r="V104" s="249"/>
      <c r="W104" s="249"/>
      <c r="X104" s="288"/>
      <c r="Y104" s="237">
        <f t="shared" si="14"/>
        <v>0</v>
      </c>
      <c r="Z104" s="237">
        <f t="shared" si="16"/>
        <v>0</v>
      </c>
    </row>
    <row r="105" spans="1:26" s="141" customFormat="1" ht="12.75" x14ac:dyDescent="0.2">
      <c r="A105" s="165"/>
      <c r="B105" s="165" t="s">
        <v>427</v>
      </c>
      <c r="C105" s="110">
        <v>2930010</v>
      </c>
      <c r="D105" s="285" t="s">
        <v>345</v>
      </c>
      <c r="E105" s="286"/>
      <c r="F105" s="110">
        <v>796</v>
      </c>
      <c r="G105" s="287" t="s">
        <v>17</v>
      </c>
      <c r="H105" s="287">
        <v>3</v>
      </c>
      <c r="I105" s="151">
        <v>98401</v>
      </c>
      <c r="J105" s="287" t="s">
        <v>429</v>
      </c>
      <c r="K105" s="249">
        <v>4970</v>
      </c>
      <c r="L105" s="246" t="str">
        <f t="shared" si="15"/>
        <v>3 квартал 2012</v>
      </c>
      <c r="M105" s="249"/>
      <c r="N105" s="249"/>
      <c r="O105" s="287"/>
      <c r="P105" s="249"/>
      <c r="Q105" s="249"/>
      <c r="R105" s="191"/>
      <c r="S105" s="249"/>
      <c r="T105" s="249">
        <v>3</v>
      </c>
      <c r="U105" s="249">
        <v>4970</v>
      </c>
      <c r="V105" s="249"/>
      <c r="W105" s="249"/>
      <c r="X105" s="288"/>
      <c r="Y105" s="237">
        <f t="shared" si="14"/>
        <v>0</v>
      </c>
      <c r="Z105" s="237">
        <f t="shared" si="16"/>
        <v>0</v>
      </c>
    </row>
    <row r="106" spans="1:26" s="141" customFormat="1" ht="12.75" x14ac:dyDescent="0.2">
      <c r="A106" s="165"/>
      <c r="B106" s="165" t="s">
        <v>427</v>
      </c>
      <c r="C106" s="110">
        <v>3320000</v>
      </c>
      <c r="D106" s="285" t="s">
        <v>347</v>
      </c>
      <c r="E106" s="286"/>
      <c r="F106" s="110">
        <v>796</v>
      </c>
      <c r="G106" s="287" t="s">
        <v>17</v>
      </c>
      <c r="H106" s="287">
        <v>1</v>
      </c>
      <c r="I106" s="151">
        <v>98401</v>
      </c>
      <c r="J106" s="287" t="s">
        <v>429</v>
      </c>
      <c r="K106" s="249">
        <v>34000</v>
      </c>
      <c r="L106" s="246" t="str">
        <f t="shared" si="15"/>
        <v>3 квартал 2012</v>
      </c>
      <c r="M106" s="249"/>
      <c r="N106" s="249"/>
      <c r="O106" s="287"/>
      <c r="P106" s="249"/>
      <c r="Q106" s="249"/>
      <c r="R106" s="191"/>
      <c r="S106" s="249"/>
      <c r="T106" s="249">
        <v>1</v>
      </c>
      <c r="U106" s="249">
        <v>34000</v>
      </c>
      <c r="V106" s="249"/>
      <c r="W106" s="249"/>
      <c r="X106" s="288"/>
      <c r="Y106" s="237">
        <f t="shared" si="14"/>
        <v>0</v>
      </c>
      <c r="Z106" s="237">
        <f t="shared" si="16"/>
        <v>0</v>
      </c>
    </row>
    <row r="107" spans="1:26" s="141" customFormat="1" ht="12.75" x14ac:dyDescent="0.2">
      <c r="A107" s="165"/>
      <c r="B107" s="165" t="s">
        <v>427</v>
      </c>
      <c r="C107" s="110">
        <v>2930010</v>
      </c>
      <c r="D107" s="285" t="s">
        <v>346</v>
      </c>
      <c r="E107" s="286"/>
      <c r="F107" s="110">
        <v>796</v>
      </c>
      <c r="G107" s="287" t="s">
        <v>17</v>
      </c>
      <c r="H107" s="287">
        <v>1</v>
      </c>
      <c r="I107" s="151">
        <v>98401</v>
      </c>
      <c r="J107" s="287" t="s">
        <v>429</v>
      </c>
      <c r="K107" s="249">
        <v>3035</v>
      </c>
      <c r="L107" s="246" t="str">
        <f t="shared" si="15"/>
        <v>3 квартал 2012</v>
      </c>
      <c r="M107" s="249"/>
      <c r="N107" s="249"/>
      <c r="O107" s="287"/>
      <c r="P107" s="249"/>
      <c r="Q107" s="249"/>
      <c r="R107" s="191"/>
      <c r="S107" s="249"/>
      <c r="T107" s="249">
        <v>1</v>
      </c>
      <c r="U107" s="249">
        <v>3035</v>
      </c>
      <c r="V107" s="249"/>
      <c r="W107" s="249"/>
      <c r="X107" s="288"/>
      <c r="Y107" s="237">
        <f t="shared" si="14"/>
        <v>0</v>
      </c>
      <c r="Z107" s="237">
        <f t="shared" si="16"/>
        <v>0</v>
      </c>
    </row>
    <row r="108" spans="1:26" s="141" customFormat="1" ht="12.75" x14ac:dyDescent="0.2">
      <c r="A108" s="165"/>
      <c r="B108" s="165" t="s">
        <v>575</v>
      </c>
      <c r="C108" s="110">
        <v>5235020</v>
      </c>
      <c r="D108" s="285" t="s">
        <v>348</v>
      </c>
      <c r="E108" s="286"/>
      <c r="F108" s="110">
        <v>796</v>
      </c>
      <c r="G108" s="287" t="s">
        <v>17</v>
      </c>
      <c r="H108" s="287">
        <v>3</v>
      </c>
      <c r="I108" s="151">
        <v>98401</v>
      </c>
      <c r="J108" s="287" t="s">
        <v>429</v>
      </c>
      <c r="K108" s="249">
        <v>98970</v>
      </c>
      <c r="L108" s="246" t="str">
        <f t="shared" si="15"/>
        <v>3 квартал 2012</v>
      </c>
      <c r="M108" s="249"/>
      <c r="N108" s="249"/>
      <c r="O108" s="287"/>
      <c r="P108" s="249"/>
      <c r="Q108" s="249"/>
      <c r="R108" s="191"/>
      <c r="S108" s="249"/>
      <c r="T108" s="249">
        <v>3</v>
      </c>
      <c r="U108" s="249">
        <v>98970</v>
      </c>
      <c r="V108" s="249"/>
      <c r="W108" s="249"/>
      <c r="X108" s="288"/>
      <c r="Y108" s="237">
        <f t="shared" si="14"/>
        <v>0</v>
      </c>
      <c r="Z108" s="237">
        <f t="shared" si="16"/>
        <v>0</v>
      </c>
    </row>
    <row r="109" spans="1:26" s="141" customFormat="1" ht="12.75" x14ac:dyDescent="0.2">
      <c r="A109" s="165"/>
      <c r="B109" s="165" t="s">
        <v>427</v>
      </c>
      <c r="C109" s="110">
        <v>3320000</v>
      </c>
      <c r="D109" s="285" t="s">
        <v>350</v>
      </c>
      <c r="E109" s="286"/>
      <c r="F109" s="110">
        <v>796</v>
      </c>
      <c r="G109" s="287" t="s">
        <v>17</v>
      </c>
      <c r="H109" s="287">
        <v>1</v>
      </c>
      <c r="I109" s="151">
        <v>98401</v>
      </c>
      <c r="J109" s="287" t="s">
        <v>429</v>
      </c>
      <c r="K109" s="249">
        <v>7000</v>
      </c>
      <c r="L109" s="246" t="str">
        <f t="shared" si="15"/>
        <v>3 квартал 2012</v>
      </c>
      <c r="M109" s="249"/>
      <c r="N109" s="249"/>
      <c r="O109" s="287"/>
      <c r="P109" s="249"/>
      <c r="Q109" s="249"/>
      <c r="R109" s="191"/>
      <c r="S109" s="249"/>
      <c r="T109" s="249">
        <v>1</v>
      </c>
      <c r="U109" s="249">
        <v>7000</v>
      </c>
      <c r="V109" s="249"/>
      <c r="W109" s="249"/>
      <c r="X109" s="288"/>
      <c r="Y109" s="237">
        <f t="shared" si="14"/>
        <v>0</v>
      </c>
      <c r="Z109" s="237">
        <f t="shared" si="16"/>
        <v>0</v>
      </c>
    </row>
    <row r="110" spans="1:26" s="141" customFormat="1" ht="12.75" x14ac:dyDescent="0.2">
      <c r="A110" s="165"/>
      <c r="B110" s="165" t="s">
        <v>427</v>
      </c>
      <c r="C110" s="110">
        <v>2930010</v>
      </c>
      <c r="D110" s="285" t="s">
        <v>351</v>
      </c>
      <c r="E110" s="286"/>
      <c r="F110" s="110">
        <v>796</v>
      </c>
      <c r="G110" s="287" t="s">
        <v>17</v>
      </c>
      <c r="H110" s="287">
        <v>1</v>
      </c>
      <c r="I110" s="151">
        <v>98401</v>
      </c>
      <c r="J110" s="287" t="s">
        <v>429</v>
      </c>
      <c r="K110" s="249">
        <v>1090</v>
      </c>
      <c r="L110" s="246" t="str">
        <f t="shared" si="15"/>
        <v>3 квартал 2012</v>
      </c>
      <c r="M110" s="249"/>
      <c r="N110" s="249"/>
      <c r="O110" s="287"/>
      <c r="P110" s="249"/>
      <c r="Q110" s="249"/>
      <c r="R110" s="191"/>
      <c r="S110" s="249"/>
      <c r="T110" s="249">
        <v>1</v>
      </c>
      <c r="U110" s="249">
        <v>1090</v>
      </c>
      <c r="V110" s="249"/>
      <c r="W110" s="249"/>
      <c r="X110" s="288"/>
      <c r="Y110" s="237">
        <f t="shared" si="14"/>
        <v>0</v>
      </c>
      <c r="Z110" s="237">
        <f t="shared" si="16"/>
        <v>0</v>
      </c>
    </row>
    <row r="111" spans="1:26" s="141" customFormat="1" ht="25.5" hidden="1" x14ac:dyDescent="0.2">
      <c r="A111" s="165"/>
      <c r="B111" s="165" t="s">
        <v>575</v>
      </c>
      <c r="C111" s="110">
        <v>5235020</v>
      </c>
      <c r="D111" s="296" t="s">
        <v>470</v>
      </c>
      <c r="E111" s="286" t="s">
        <v>467</v>
      </c>
      <c r="F111" s="110">
        <v>796</v>
      </c>
      <c r="G111" s="287" t="s">
        <v>17</v>
      </c>
      <c r="H111" s="287">
        <f>V111</f>
        <v>1</v>
      </c>
      <c r="I111" s="151">
        <v>98401</v>
      </c>
      <c r="J111" s="287" t="s">
        <v>429</v>
      </c>
      <c r="K111" s="249">
        <f>W111</f>
        <v>460000</v>
      </c>
      <c r="L111" s="246" t="str">
        <f t="shared" si="15"/>
        <v>4 квартал 2012</v>
      </c>
      <c r="M111" s="245">
        <v>41244</v>
      </c>
      <c r="N111" s="249" t="s">
        <v>560</v>
      </c>
      <c r="O111" s="287" t="s">
        <v>561</v>
      </c>
      <c r="P111" s="249"/>
      <c r="Q111" s="249"/>
      <c r="R111" s="191"/>
      <c r="S111" s="249"/>
      <c r="T111" s="249"/>
      <c r="U111" s="249"/>
      <c r="V111" s="249">
        <v>1</v>
      </c>
      <c r="W111" s="249">
        <v>460000</v>
      </c>
      <c r="X111" s="288"/>
      <c r="Y111" s="237">
        <f t="shared" si="14"/>
        <v>0</v>
      </c>
      <c r="Z111" s="237">
        <f t="shared" si="16"/>
        <v>0</v>
      </c>
    </row>
    <row r="112" spans="1:26" s="141" customFormat="1" ht="12.75" hidden="1" x14ac:dyDescent="0.2">
      <c r="A112" s="165"/>
      <c r="B112" s="165" t="s">
        <v>575</v>
      </c>
      <c r="C112" s="110">
        <v>5235020</v>
      </c>
      <c r="D112" s="296" t="s">
        <v>471</v>
      </c>
      <c r="E112" s="286" t="s">
        <v>467</v>
      </c>
      <c r="F112" s="110">
        <v>796</v>
      </c>
      <c r="G112" s="287" t="s">
        <v>17</v>
      </c>
      <c r="H112" s="287">
        <f>V112</f>
        <v>1</v>
      </c>
      <c r="I112" s="151">
        <v>98401</v>
      </c>
      <c r="J112" s="287" t="s">
        <v>429</v>
      </c>
      <c r="K112" s="249">
        <f>W112</f>
        <v>300000</v>
      </c>
      <c r="L112" s="246" t="str">
        <f t="shared" si="15"/>
        <v>4 квартал 2012</v>
      </c>
      <c r="M112" s="245">
        <v>41244</v>
      </c>
      <c r="N112" s="249" t="s">
        <v>560</v>
      </c>
      <c r="O112" s="287" t="s">
        <v>561</v>
      </c>
      <c r="P112" s="249"/>
      <c r="Q112" s="249"/>
      <c r="R112" s="191"/>
      <c r="S112" s="249"/>
      <c r="T112" s="249"/>
      <c r="U112" s="249"/>
      <c r="V112" s="249">
        <v>1</v>
      </c>
      <c r="W112" s="249">
        <v>300000</v>
      </c>
      <c r="X112" s="288"/>
      <c r="Y112" s="237">
        <f t="shared" si="14"/>
        <v>0</v>
      </c>
      <c r="Z112" s="237">
        <f t="shared" si="16"/>
        <v>0</v>
      </c>
    </row>
    <row r="113" spans="1:26" s="141" customFormat="1" ht="12.75" hidden="1" x14ac:dyDescent="0.2">
      <c r="A113" s="165"/>
      <c r="B113" s="165" t="s">
        <v>575</v>
      </c>
      <c r="C113" s="110">
        <v>5235020</v>
      </c>
      <c r="D113" s="296" t="s">
        <v>472</v>
      </c>
      <c r="E113" s="286" t="s">
        <v>467</v>
      </c>
      <c r="F113" s="110">
        <v>796</v>
      </c>
      <c r="G113" s="287" t="s">
        <v>17</v>
      </c>
      <c r="H113" s="287">
        <f>V113</f>
        <v>4</v>
      </c>
      <c r="I113" s="151">
        <v>98401</v>
      </c>
      <c r="J113" s="287" t="s">
        <v>429</v>
      </c>
      <c r="K113" s="249">
        <f>W113</f>
        <v>1200000</v>
      </c>
      <c r="L113" s="246" t="str">
        <f t="shared" si="15"/>
        <v>4 квартал 2012</v>
      </c>
      <c r="M113" s="245">
        <v>41244</v>
      </c>
      <c r="N113" s="249" t="s">
        <v>560</v>
      </c>
      <c r="O113" s="287" t="s">
        <v>561</v>
      </c>
      <c r="P113" s="249"/>
      <c r="Q113" s="249"/>
      <c r="R113" s="191"/>
      <c r="S113" s="249"/>
      <c r="T113" s="249"/>
      <c r="U113" s="249"/>
      <c r="V113" s="249">
        <v>4</v>
      </c>
      <c r="W113" s="249">
        <v>1200000</v>
      </c>
      <c r="X113" s="288"/>
      <c r="Y113" s="237">
        <f t="shared" si="14"/>
        <v>0</v>
      </c>
      <c r="Z113" s="237">
        <f t="shared" si="16"/>
        <v>0</v>
      </c>
    </row>
    <row r="114" spans="1:26" s="141" customFormat="1" ht="12.75" hidden="1" x14ac:dyDescent="0.2">
      <c r="A114" s="165"/>
      <c r="B114" s="165" t="s">
        <v>575</v>
      </c>
      <c r="C114" s="110">
        <v>5235020</v>
      </c>
      <c r="D114" s="296" t="s">
        <v>473</v>
      </c>
      <c r="E114" s="286" t="s">
        <v>467</v>
      </c>
      <c r="F114" s="110">
        <v>796</v>
      </c>
      <c r="G114" s="287" t="s">
        <v>17</v>
      </c>
      <c r="H114" s="287">
        <f>V114</f>
        <v>100</v>
      </c>
      <c r="I114" s="151">
        <v>98401</v>
      </c>
      <c r="J114" s="287" t="s">
        <v>429</v>
      </c>
      <c r="K114" s="249">
        <f>W114</f>
        <v>4000000</v>
      </c>
      <c r="L114" s="246" t="str">
        <f t="shared" si="15"/>
        <v>4 квартал 2012</v>
      </c>
      <c r="M114" s="245">
        <v>41244</v>
      </c>
      <c r="N114" s="249" t="s">
        <v>560</v>
      </c>
      <c r="O114" s="287" t="s">
        <v>561</v>
      </c>
      <c r="P114" s="249"/>
      <c r="Q114" s="249"/>
      <c r="R114" s="191"/>
      <c r="S114" s="249"/>
      <c r="T114" s="249"/>
      <c r="U114" s="249"/>
      <c r="V114" s="249">
        <v>100</v>
      </c>
      <c r="W114" s="249">
        <v>4000000</v>
      </c>
      <c r="X114" s="288"/>
      <c r="Y114" s="237">
        <f t="shared" si="14"/>
        <v>0</v>
      </c>
      <c r="Z114" s="237">
        <f t="shared" si="16"/>
        <v>0</v>
      </c>
    </row>
    <row r="115" spans="1:26" s="141" customFormat="1" ht="25.5" hidden="1" x14ac:dyDescent="0.2">
      <c r="A115" s="165"/>
      <c r="B115" s="165" t="s">
        <v>575</v>
      </c>
      <c r="C115" s="110">
        <v>5235020</v>
      </c>
      <c r="D115" s="296" t="s">
        <v>474</v>
      </c>
      <c r="E115" s="286" t="s">
        <v>467</v>
      </c>
      <c r="F115" s="110">
        <v>796</v>
      </c>
      <c r="G115" s="287" t="s">
        <v>17</v>
      </c>
      <c r="H115" s="287">
        <f>V115</f>
        <v>4</v>
      </c>
      <c r="I115" s="151">
        <v>98401</v>
      </c>
      <c r="J115" s="287" t="s">
        <v>429</v>
      </c>
      <c r="K115" s="249">
        <f>W115</f>
        <v>240000</v>
      </c>
      <c r="L115" s="246" t="str">
        <f t="shared" si="15"/>
        <v>4 квартал 2012</v>
      </c>
      <c r="M115" s="245">
        <v>41244</v>
      </c>
      <c r="N115" s="249" t="s">
        <v>560</v>
      </c>
      <c r="O115" s="287" t="s">
        <v>561</v>
      </c>
      <c r="P115" s="249"/>
      <c r="Q115" s="249"/>
      <c r="R115" s="191"/>
      <c r="S115" s="249"/>
      <c r="T115" s="249"/>
      <c r="U115" s="249"/>
      <c r="V115" s="249">
        <v>4</v>
      </c>
      <c r="W115" s="249">
        <v>240000</v>
      </c>
      <c r="X115" s="288"/>
      <c r="Y115" s="237">
        <f t="shared" si="14"/>
        <v>0</v>
      </c>
      <c r="Z115" s="237">
        <f t="shared" si="16"/>
        <v>0</v>
      </c>
    </row>
    <row r="116" spans="1:26" s="230" customFormat="1" ht="12.75" hidden="1" x14ac:dyDescent="0.2">
      <c r="A116" s="156" t="s">
        <v>548</v>
      </c>
      <c r="B116" s="156"/>
      <c r="C116" s="157"/>
      <c r="D116" s="281" t="s">
        <v>211</v>
      </c>
      <c r="E116" s="282"/>
      <c r="F116" s="282"/>
      <c r="G116" s="279"/>
      <c r="H116" s="279">
        <f>SUM(H117:H136)</f>
        <v>1164</v>
      </c>
      <c r="I116" s="283"/>
      <c r="J116" s="279"/>
      <c r="K116" s="244">
        <f>SUM(K117:K136)</f>
        <v>4328260</v>
      </c>
      <c r="L116" s="244"/>
      <c r="M116" s="244"/>
      <c r="N116" s="244"/>
      <c r="O116" s="279"/>
      <c r="P116" s="244">
        <f t="shared" ref="P116:W116" si="17">SUM(P117:P136)</f>
        <v>10</v>
      </c>
      <c r="Q116" s="244">
        <f t="shared" si="17"/>
        <v>186400</v>
      </c>
      <c r="R116" s="244">
        <f t="shared" si="17"/>
        <v>17</v>
      </c>
      <c r="S116" s="244">
        <f t="shared" si="17"/>
        <v>255400</v>
      </c>
      <c r="T116" s="244">
        <f t="shared" si="17"/>
        <v>387</v>
      </c>
      <c r="U116" s="244">
        <f t="shared" si="17"/>
        <v>1179260</v>
      </c>
      <c r="V116" s="244">
        <f t="shared" si="17"/>
        <v>750</v>
      </c>
      <c r="W116" s="244">
        <f t="shared" si="17"/>
        <v>2707200</v>
      </c>
      <c r="X116" s="284"/>
      <c r="Y116" s="237">
        <f t="shared" si="14"/>
        <v>0</v>
      </c>
      <c r="Z116" s="237">
        <f t="shared" si="16"/>
        <v>0</v>
      </c>
    </row>
    <row r="117" spans="1:26" s="141" customFormat="1" ht="12.75" x14ac:dyDescent="0.2">
      <c r="A117" s="165"/>
      <c r="B117" s="165" t="s">
        <v>589</v>
      </c>
      <c r="C117" s="110">
        <v>5235020</v>
      </c>
      <c r="D117" s="285" t="s">
        <v>212</v>
      </c>
      <c r="E117" s="286"/>
      <c r="F117" s="110">
        <v>796</v>
      </c>
      <c r="G117" s="287" t="s">
        <v>17</v>
      </c>
      <c r="H117" s="287">
        <v>1</v>
      </c>
      <c r="I117" s="151">
        <v>98401</v>
      </c>
      <c r="J117" s="287" t="s">
        <v>429</v>
      </c>
      <c r="K117" s="249">
        <v>100000</v>
      </c>
      <c r="L117" s="246" t="str">
        <f t="shared" ref="L117:L137" si="18">IF(Q117&gt;0,"1 квартал 2012",IF(S117&gt;0,"2 квартал 2012",IF(U117&gt;0,"3 квартал 2012","4 квартал 2012")))</f>
        <v>2 квартал 2012</v>
      </c>
      <c r="M117" s="249"/>
      <c r="N117" s="249"/>
      <c r="O117" s="287"/>
      <c r="P117" s="191"/>
      <c r="Q117" s="191"/>
      <c r="R117" s="249">
        <v>1</v>
      </c>
      <c r="S117" s="249">
        <v>100000</v>
      </c>
      <c r="T117" s="249"/>
      <c r="U117" s="249"/>
      <c r="V117" s="249"/>
      <c r="W117" s="249"/>
      <c r="X117" s="288"/>
      <c r="Y117" s="237">
        <f t="shared" si="14"/>
        <v>0</v>
      </c>
      <c r="Z117" s="237">
        <f t="shared" si="16"/>
        <v>0</v>
      </c>
    </row>
    <row r="118" spans="1:26" s="141" customFormat="1" ht="25.5" hidden="1" x14ac:dyDescent="0.2">
      <c r="A118" s="165"/>
      <c r="B118" s="165" t="s">
        <v>589</v>
      </c>
      <c r="C118" s="110">
        <v>5235020</v>
      </c>
      <c r="D118" s="296" t="s">
        <v>476</v>
      </c>
      <c r="E118" s="286" t="s">
        <v>477</v>
      </c>
      <c r="F118" s="110">
        <v>796</v>
      </c>
      <c r="G118" s="287" t="s">
        <v>17</v>
      </c>
      <c r="H118" s="287">
        <f>V118</f>
        <v>8</v>
      </c>
      <c r="I118" s="151">
        <v>98401</v>
      </c>
      <c r="J118" s="287" t="s">
        <v>429</v>
      </c>
      <c r="K118" s="249">
        <f>W118</f>
        <v>216000</v>
      </c>
      <c r="L118" s="246" t="str">
        <f t="shared" si="18"/>
        <v>4 квартал 2012</v>
      </c>
      <c r="M118" s="245">
        <v>41244</v>
      </c>
      <c r="N118" s="249" t="s">
        <v>560</v>
      </c>
      <c r="O118" s="287" t="s">
        <v>561</v>
      </c>
      <c r="P118" s="249"/>
      <c r="Q118" s="249"/>
      <c r="R118" s="249"/>
      <c r="S118" s="249"/>
      <c r="T118" s="249"/>
      <c r="U118" s="249"/>
      <c r="V118" s="249">
        <v>8</v>
      </c>
      <c r="W118" s="249">
        <v>216000</v>
      </c>
      <c r="X118" s="288"/>
      <c r="Y118" s="237">
        <f t="shared" si="14"/>
        <v>0</v>
      </c>
      <c r="Z118" s="237">
        <f t="shared" si="16"/>
        <v>0</v>
      </c>
    </row>
    <row r="119" spans="1:26" s="141" customFormat="1" ht="25.5" hidden="1" x14ac:dyDescent="0.2">
      <c r="A119" s="165"/>
      <c r="B119" s="165" t="s">
        <v>589</v>
      </c>
      <c r="C119" s="110">
        <v>5235020</v>
      </c>
      <c r="D119" s="296" t="s">
        <v>478</v>
      </c>
      <c r="E119" s="286" t="s">
        <v>477</v>
      </c>
      <c r="F119" s="110">
        <v>796</v>
      </c>
      <c r="G119" s="287" t="s">
        <v>17</v>
      </c>
      <c r="H119" s="287">
        <f>V119</f>
        <v>100</v>
      </c>
      <c r="I119" s="151">
        <v>98401</v>
      </c>
      <c r="J119" s="287" t="s">
        <v>429</v>
      </c>
      <c r="K119" s="249">
        <f>W119</f>
        <v>800000</v>
      </c>
      <c r="L119" s="246" t="str">
        <f t="shared" si="18"/>
        <v>4 квартал 2012</v>
      </c>
      <c r="M119" s="245">
        <v>41244</v>
      </c>
      <c r="N119" s="249" t="s">
        <v>560</v>
      </c>
      <c r="O119" s="287" t="s">
        <v>561</v>
      </c>
      <c r="P119" s="249"/>
      <c r="Q119" s="249"/>
      <c r="R119" s="249"/>
      <c r="S119" s="249"/>
      <c r="T119" s="249"/>
      <c r="U119" s="249"/>
      <c r="V119" s="249">
        <v>100</v>
      </c>
      <c r="W119" s="249">
        <v>800000</v>
      </c>
      <c r="X119" s="288"/>
      <c r="Y119" s="237">
        <f t="shared" si="14"/>
        <v>0</v>
      </c>
      <c r="Z119" s="237">
        <f t="shared" si="16"/>
        <v>0</v>
      </c>
    </row>
    <row r="120" spans="1:26" s="141" customFormat="1" ht="51" hidden="1" x14ac:dyDescent="0.2">
      <c r="A120" s="165"/>
      <c r="B120" s="165" t="s">
        <v>589</v>
      </c>
      <c r="C120" s="110"/>
      <c r="D120" s="296" t="s">
        <v>479</v>
      </c>
      <c r="E120" s="286" t="s">
        <v>467</v>
      </c>
      <c r="F120" s="110">
        <v>796</v>
      </c>
      <c r="G120" s="287" t="s">
        <v>17</v>
      </c>
      <c r="H120" s="287">
        <f>V120</f>
        <v>450</v>
      </c>
      <c r="I120" s="151">
        <v>98401</v>
      </c>
      <c r="J120" s="287" t="s">
        <v>429</v>
      </c>
      <c r="K120" s="249">
        <f>W120</f>
        <v>450000</v>
      </c>
      <c r="L120" s="246" t="str">
        <f t="shared" si="18"/>
        <v>4 квартал 2012</v>
      </c>
      <c r="M120" s="245">
        <v>41244</v>
      </c>
      <c r="N120" s="249" t="s">
        <v>560</v>
      </c>
      <c r="O120" s="287" t="s">
        <v>561</v>
      </c>
      <c r="P120" s="249"/>
      <c r="Q120" s="249"/>
      <c r="R120" s="249"/>
      <c r="S120" s="249"/>
      <c r="T120" s="249"/>
      <c r="U120" s="249"/>
      <c r="V120" s="249">
        <v>450</v>
      </c>
      <c r="W120" s="249">
        <v>450000</v>
      </c>
      <c r="X120" s="288"/>
      <c r="Y120" s="237">
        <f t="shared" si="14"/>
        <v>0</v>
      </c>
      <c r="Z120" s="237">
        <f t="shared" si="16"/>
        <v>0</v>
      </c>
    </row>
    <row r="121" spans="1:26" s="141" customFormat="1" ht="51" x14ac:dyDescent="0.2">
      <c r="A121" s="165"/>
      <c r="B121" s="165"/>
      <c r="C121" s="110"/>
      <c r="D121" s="296" t="s">
        <v>480</v>
      </c>
      <c r="E121" s="286" t="s">
        <v>467</v>
      </c>
      <c r="F121" s="110">
        <v>796</v>
      </c>
      <c r="G121" s="287" t="s">
        <v>17</v>
      </c>
      <c r="H121" s="287">
        <f>V121</f>
        <v>20</v>
      </c>
      <c r="I121" s="151">
        <v>98401</v>
      </c>
      <c r="J121" s="287" t="s">
        <v>429</v>
      </c>
      <c r="K121" s="249">
        <f>W121</f>
        <v>60000</v>
      </c>
      <c r="L121" s="246" t="str">
        <f t="shared" si="18"/>
        <v>4 квартал 2012</v>
      </c>
      <c r="M121" s="245">
        <v>41244</v>
      </c>
      <c r="N121" s="249" t="s">
        <v>560</v>
      </c>
      <c r="O121" s="287" t="s">
        <v>561</v>
      </c>
      <c r="P121" s="249"/>
      <c r="Q121" s="249"/>
      <c r="R121" s="249"/>
      <c r="S121" s="249"/>
      <c r="T121" s="249"/>
      <c r="U121" s="249"/>
      <c r="V121" s="249">
        <v>20</v>
      </c>
      <c r="W121" s="249">
        <v>60000</v>
      </c>
      <c r="X121" s="288"/>
      <c r="Y121" s="237">
        <f t="shared" si="14"/>
        <v>0</v>
      </c>
      <c r="Z121" s="237">
        <f t="shared" si="16"/>
        <v>0</v>
      </c>
    </row>
    <row r="122" spans="1:26" s="141" customFormat="1" ht="12.75" x14ac:dyDescent="0.2">
      <c r="A122" s="165"/>
      <c r="B122" s="165" t="s">
        <v>410</v>
      </c>
      <c r="C122" s="110">
        <v>5235020</v>
      </c>
      <c r="D122" s="285" t="s">
        <v>215</v>
      </c>
      <c r="E122" s="286"/>
      <c r="F122" s="110">
        <v>796</v>
      </c>
      <c r="G122" s="287" t="s">
        <v>17</v>
      </c>
      <c r="H122" s="287">
        <v>150</v>
      </c>
      <c r="I122" s="151">
        <v>98401</v>
      </c>
      <c r="J122" s="287" t="s">
        <v>429</v>
      </c>
      <c r="K122" s="249">
        <v>83060</v>
      </c>
      <c r="L122" s="246" t="str">
        <f t="shared" si="18"/>
        <v>3 квартал 2012</v>
      </c>
      <c r="M122" s="249"/>
      <c r="N122" s="249" t="s">
        <v>558</v>
      </c>
      <c r="O122" s="287" t="s">
        <v>557</v>
      </c>
      <c r="P122" s="249"/>
      <c r="Q122" s="249"/>
      <c r="R122" s="249"/>
      <c r="S122" s="249"/>
      <c r="T122" s="249">
        <v>150</v>
      </c>
      <c r="U122" s="249">
        <v>83060</v>
      </c>
      <c r="V122" s="249"/>
      <c r="W122" s="249"/>
      <c r="X122" s="288"/>
      <c r="Y122" s="237">
        <f t="shared" si="14"/>
        <v>0</v>
      </c>
      <c r="Z122" s="237">
        <f t="shared" si="16"/>
        <v>0</v>
      </c>
    </row>
    <row r="123" spans="1:26" s="141" customFormat="1" ht="12.75" hidden="1" x14ac:dyDescent="0.2">
      <c r="A123" s="165"/>
      <c r="B123" s="165" t="s">
        <v>410</v>
      </c>
      <c r="C123" s="110">
        <v>5235020</v>
      </c>
      <c r="D123" s="285" t="s">
        <v>217</v>
      </c>
      <c r="E123" s="286"/>
      <c r="F123" s="110">
        <v>796</v>
      </c>
      <c r="G123" s="287" t="s">
        <v>17</v>
      </c>
      <c r="H123" s="287">
        <v>5</v>
      </c>
      <c r="I123" s="151">
        <v>98401</v>
      </c>
      <c r="J123" s="287" t="s">
        <v>429</v>
      </c>
      <c r="K123" s="249">
        <v>225000</v>
      </c>
      <c r="L123" s="246" t="str">
        <f t="shared" si="18"/>
        <v>3 квартал 2012</v>
      </c>
      <c r="M123" s="249"/>
      <c r="N123" s="249"/>
      <c r="O123" s="287"/>
      <c r="P123" s="249"/>
      <c r="Q123" s="249"/>
      <c r="R123" s="249"/>
      <c r="S123" s="249"/>
      <c r="T123" s="249">
        <v>5</v>
      </c>
      <c r="U123" s="249">
        <v>225000</v>
      </c>
      <c r="V123" s="249"/>
      <c r="W123" s="249"/>
      <c r="X123" s="288"/>
      <c r="Y123" s="237">
        <f t="shared" si="14"/>
        <v>0</v>
      </c>
      <c r="Z123" s="237">
        <f t="shared" si="16"/>
        <v>0</v>
      </c>
    </row>
    <row r="124" spans="1:26" s="141" customFormat="1" ht="12.75" x14ac:dyDescent="0.2">
      <c r="A124" s="165"/>
      <c r="B124" s="165" t="s">
        <v>410</v>
      </c>
      <c r="C124" s="110">
        <v>5235020</v>
      </c>
      <c r="D124" s="285" t="s">
        <v>218</v>
      </c>
      <c r="E124" s="286"/>
      <c r="F124" s="110">
        <v>796</v>
      </c>
      <c r="G124" s="287" t="s">
        <v>17</v>
      </c>
      <c r="H124" s="287">
        <v>1</v>
      </c>
      <c r="I124" s="151">
        <v>98401</v>
      </c>
      <c r="J124" s="287" t="s">
        <v>429</v>
      </c>
      <c r="K124" s="249">
        <v>40000</v>
      </c>
      <c r="L124" s="246" t="str">
        <f t="shared" si="18"/>
        <v>1 квартал 2012</v>
      </c>
      <c r="M124" s="249"/>
      <c r="N124" s="249"/>
      <c r="O124" s="287"/>
      <c r="P124" s="249">
        <v>1</v>
      </c>
      <c r="Q124" s="249">
        <v>40000</v>
      </c>
      <c r="R124" s="249"/>
      <c r="S124" s="249"/>
      <c r="T124" s="249"/>
      <c r="U124" s="249"/>
      <c r="V124" s="249"/>
      <c r="W124" s="249"/>
      <c r="X124" s="288"/>
      <c r="Y124" s="237">
        <f t="shared" si="14"/>
        <v>0</v>
      </c>
      <c r="Z124" s="237">
        <f t="shared" si="16"/>
        <v>0</v>
      </c>
    </row>
    <row r="125" spans="1:26" s="227" customFormat="1" ht="38.25" hidden="1" x14ac:dyDescent="0.2">
      <c r="A125" s="219"/>
      <c r="B125" s="219" t="s">
        <v>410</v>
      </c>
      <c r="C125" s="220">
        <v>5235020</v>
      </c>
      <c r="D125" s="297" t="s">
        <v>506</v>
      </c>
      <c r="E125" s="298"/>
      <c r="F125" s="220">
        <v>796</v>
      </c>
      <c r="G125" s="299" t="s">
        <v>17</v>
      </c>
      <c r="H125" s="299">
        <v>10</v>
      </c>
      <c r="I125" s="223">
        <v>98401</v>
      </c>
      <c r="J125" s="299" t="s">
        <v>429</v>
      </c>
      <c r="K125" s="252">
        <v>540000</v>
      </c>
      <c r="L125" s="251" t="str">
        <f t="shared" si="18"/>
        <v>4 квартал 2012</v>
      </c>
      <c r="M125" s="252"/>
      <c r="N125" s="252"/>
      <c r="O125" s="299"/>
      <c r="P125" s="252"/>
      <c r="Q125" s="252"/>
      <c r="R125" s="252"/>
      <c r="S125" s="252"/>
      <c r="T125" s="252"/>
      <c r="U125" s="252"/>
      <c r="V125" s="252">
        <v>10</v>
      </c>
      <c r="W125" s="252">
        <v>540000</v>
      </c>
      <c r="X125" s="300"/>
      <c r="Y125" s="237">
        <f t="shared" si="14"/>
        <v>0</v>
      </c>
      <c r="Z125" s="238">
        <f t="shared" si="16"/>
        <v>0</v>
      </c>
    </row>
    <row r="126" spans="1:26" s="141" customFormat="1" ht="12.75" hidden="1" x14ac:dyDescent="0.2">
      <c r="A126" s="165"/>
      <c r="B126" s="165" t="s">
        <v>410</v>
      </c>
      <c r="C126" s="110">
        <v>5235020</v>
      </c>
      <c r="D126" s="285" t="s">
        <v>221</v>
      </c>
      <c r="E126" s="286"/>
      <c r="F126" s="110">
        <v>796</v>
      </c>
      <c r="G126" s="287" t="s">
        <v>17</v>
      </c>
      <c r="H126" s="287">
        <v>35</v>
      </c>
      <c r="I126" s="151">
        <v>98401</v>
      </c>
      <c r="J126" s="287" t="s">
        <v>429</v>
      </c>
      <c r="K126" s="249">
        <v>203000</v>
      </c>
      <c r="L126" s="246" t="str">
        <f t="shared" si="18"/>
        <v>1 квартал 2012</v>
      </c>
      <c r="M126" s="249"/>
      <c r="N126" s="249"/>
      <c r="O126" s="287"/>
      <c r="P126" s="249">
        <v>8</v>
      </c>
      <c r="Q126" s="249">
        <v>46400</v>
      </c>
      <c r="R126" s="249">
        <v>9</v>
      </c>
      <c r="S126" s="249">
        <v>52200</v>
      </c>
      <c r="T126" s="249">
        <v>9</v>
      </c>
      <c r="U126" s="249">
        <v>52200</v>
      </c>
      <c r="V126" s="249">
        <v>9</v>
      </c>
      <c r="W126" s="249">
        <v>52200</v>
      </c>
      <c r="X126" s="288"/>
      <c r="Y126" s="237">
        <f t="shared" si="14"/>
        <v>0</v>
      </c>
      <c r="Z126" s="237">
        <f t="shared" si="16"/>
        <v>0</v>
      </c>
    </row>
    <row r="127" spans="1:26" s="141" customFormat="1" ht="12.75" x14ac:dyDescent="0.2">
      <c r="A127" s="165"/>
      <c r="B127" s="165" t="s">
        <v>410</v>
      </c>
      <c r="C127" s="110">
        <v>5235020</v>
      </c>
      <c r="D127" s="285" t="s">
        <v>222</v>
      </c>
      <c r="E127" s="286"/>
      <c r="F127" s="110">
        <v>796</v>
      </c>
      <c r="G127" s="287" t="s">
        <v>17</v>
      </c>
      <c r="H127" s="287">
        <v>1</v>
      </c>
      <c r="I127" s="151">
        <v>98401</v>
      </c>
      <c r="J127" s="287" t="s">
        <v>429</v>
      </c>
      <c r="K127" s="249">
        <v>28200</v>
      </c>
      <c r="L127" s="246" t="str">
        <f t="shared" si="18"/>
        <v>2 квартал 2012</v>
      </c>
      <c r="M127" s="249"/>
      <c r="N127" s="249"/>
      <c r="O127" s="287"/>
      <c r="P127" s="249"/>
      <c r="Q127" s="249"/>
      <c r="R127" s="249">
        <v>1</v>
      </c>
      <c r="S127" s="249">
        <v>28200</v>
      </c>
      <c r="T127" s="249"/>
      <c r="U127" s="249"/>
      <c r="V127" s="249"/>
      <c r="W127" s="249"/>
      <c r="X127" s="288"/>
      <c r="Y127" s="237">
        <f t="shared" si="14"/>
        <v>0</v>
      </c>
      <c r="Z127" s="237">
        <f t="shared" si="16"/>
        <v>0</v>
      </c>
    </row>
    <row r="128" spans="1:26" s="141" customFormat="1" ht="12.75" x14ac:dyDescent="0.2">
      <c r="A128" s="165"/>
      <c r="B128" s="165" t="s">
        <v>410</v>
      </c>
      <c r="C128" s="110">
        <v>5235020</v>
      </c>
      <c r="D128" s="285" t="s">
        <v>223</v>
      </c>
      <c r="E128" s="286"/>
      <c r="F128" s="110">
        <v>796</v>
      </c>
      <c r="G128" s="287" t="s">
        <v>17</v>
      </c>
      <c r="H128" s="287">
        <v>1</v>
      </c>
      <c r="I128" s="151">
        <v>98401</v>
      </c>
      <c r="J128" s="287" t="s">
        <v>429</v>
      </c>
      <c r="K128" s="249">
        <v>50000</v>
      </c>
      <c r="L128" s="246" t="str">
        <f t="shared" si="18"/>
        <v>2 квартал 2012</v>
      </c>
      <c r="M128" s="249"/>
      <c r="N128" s="249"/>
      <c r="O128" s="287"/>
      <c r="P128" s="191"/>
      <c r="Q128" s="191"/>
      <c r="R128" s="249">
        <v>1</v>
      </c>
      <c r="S128" s="249">
        <v>50000</v>
      </c>
      <c r="T128" s="249"/>
      <c r="U128" s="249"/>
      <c r="V128" s="249"/>
      <c r="W128" s="249"/>
      <c r="X128" s="288"/>
      <c r="Y128" s="237">
        <f t="shared" si="14"/>
        <v>0</v>
      </c>
      <c r="Z128" s="237">
        <f t="shared" si="16"/>
        <v>0</v>
      </c>
    </row>
    <row r="129" spans="1:26" s="141" customFormat="1" ht="12.75" hidden="1" x14ac:dyDescent="0.2">
      <c r="A129" s="165"/>
      <c r="B129" s="165" t="s">
        <v>410</v>
      </c>
      <c r="C129" s="110">
        <v>5235020</v>
      </c>
      <c r="D129" s="285" t="s">
        <v>225</v>
      </c>
      <c r="E129" s="286"/>
      <c r="F129" s="110">
        <v>796</v>
      </c>
      <c r="G129" s="287" t="s">
        <v>17</v>
      </c>
      <c r="H129" s="287">
        <v>1</v>
      </c>
      <c r="I129" s="151">
        <v>98401</v>
      </c>
      <c r="J129" s="287" t="s">
        <v>429</v>
      </c>
      <c r="K129" s="249">
        <v>122000</v>
      </c>
      <c r="L129" s="246" t="str">
        <f t="shared" si="18"/>
        <v>4 квартал 2012</v>
      </c>
      <c r="M129" s="249"/>
      <c r="N129" s="249"/>
      <c r="O129" s="287"/>
      <c r="P129" s="191"/>
      <c r="Q129" s="191"/>
      <c r="R129" s="249"/>
      <c r="S129" s="249"/>
      <c r="T129" s="249"/>
      <c r="U129" s="249"/>
      <c r="V129" s="249">
        <v>1</v>
      </c>
      <c r="W129" s="249">
        <v>122000</v>
      </c>
      <c r="X129" s="288"/>
      <c r="Y129" s="237">
        <f t="shared" si="14"/>
        <v>0</v>
      </c>
      <c r="Z129" s="237">
        <f t="shared" si="16"/>
        <v>0</v>
      </c>
    </row>
    <row r="130" spans="1:26" s="141" customFormat="1" ht="12.75" hidden="1" x14ac:dyDescent="0.2">
      <c r="A130" s="165"/>
      <c r="B130" s="165" t="s">
        <v>410</v>
      </c>
      <c r="C130" s="110">
        <v>5235020</v>
      </c>
      <c r="D130" s="285" t="s">
        <v>226</v>
      </c>
      <c r="E130" s="286"/>
      <c r="F130" s="110">
        <v>796</v>
      </c>
      <c r="G130" s="287" t="s">
        <v>17</v>
      </c>
      <c r="H130" s="287">
        <v>1</v>
      </c>
      <c r="I130" s="151">
        <v>98401</v>
      </c>
      <c r="J130" s="287" t="s">
        <v>429</v>
      </c>
      <c r="K130" s="249">
        <v>120000</v>
      </c>
      <c r="L130" s="246" t="str">
        <f t="shared" si="18"/>
        <v>4 квартал 2012</v>
      </c>
      <c r="M130" s="249"/>
      <c r="N130" s="249"/>
      <c r="O130" s="287"/>
      <c r="P130" s="191"/>
      <c r="Q130" s="191"/>
      <c r="R130" s="249"/>
      <c r="S130" s="249"/>
      <c r="T130" s="249"/>
      <c r="U130" s="249"/>
      <c r="V130" s="249">
        <v>1</v>
      </c>
      <c r="W130" s="249">
        <v>120000</v>
      </c>
      <c r="X130" s="288"/>
      <c r="Y130" s="237">
        <f t="shared" si="14"/>
        <v>0</v>
      </c>
      <c r="Z130" s="237">
        <f t="shared" si="16"/>
        <v>0</v>
      </c>
    </row>
    <row r="131" spans="1:26" s="141" customFormat="1" ht="25.5" x14ac:dyDescent="0.2">
      <c r="A131" s="165"/>
      <c r="B131" s="165" t="s">
        <v>410</v>
      </c>
      <c r="C131" s="110">
        <v>5235020</v>
      </c>
      <c r="D131" s="285" t="s">
        <v>228</v>
      </c>
      <c r="E131" s="286"/>
      <c r="F131" s="110">
        <v>796</v>
      </c>
      <c r="G131" s="287" t="s">
        <v>17</v>
      </c>
      <c r="H131" s="287">
        <v>5</v>
      </c>
      <c r="I131" s="151">
        <v>98401</v>
      </c>
      <c r="J131" s="287" t="s">
        <v>429</v>
      </c>
      <c r="K131" s="249">
        <v>25000</v>
      </c>
      <c r="L131" s="246" t="str">
        <f t="shared" si="18"/>
        <v>2 квартал 2012</v>
      </c>
      <c r="M131" s="249"/>
      <c r="N131" s="249"/>
      <c r="O131" s="287"/>
      <c r="P131" s="249"/>
      <c r="Q131" s="249"/>
      <c r="R131" s="249">
        <v>5</v>
      </c>
      <c r="S131" s="249">
        <v>25000</v>
      </c>
      <c r="T131" s="249"/>
      <c r="U131" s="249"/>
      <c r="V131" s="249"/>
      <c r="W131" s="249"/>
      <c r="X131" s="288"/>
      <c r="Y131" s="237">
        <f t="shared" si="14"/>
        <v>0</v>
      </c>
      <c r="Z131" s="237">
        <f t="shared" si="16"/>
        <v>0</v>
      </c>
    </row>
    <row r="132" spans="1:26" s="141" customFormat="1" ht="38.25" hidden="1" x14ac:dyDescent="0.2">
      <c r="A132" s="165"/>
      <c r="B132" s="165"/>
      <c r="C132" s="110"/>
      <c r="D132" s="296" t="s">
        <v>481</v>
      </c>
      <c r="E132" s="286" t="s">
        <v>467</v>
      </c>
      <c r="F132" s="110">
        <v>796</v>
      </c>
      <c r="G132" s="287" t="s">
        <v>17</v>
      </c>
      <c r="H132" s="287">
        <f>V132</f>
        <v>1</v>
      </c>
      <c r="I132" s="151">
        <v>98401</v>
      </c>
      <c r="J132" s="287" t="s">
        <v>429</v>
      </c>
      <c r="K132" s="249">
        <f>W132</f>
        <v>140000</v>
      </c>
      <c r="L132" s="246" t="str">
        <f t="shared" si="18"/>
        <v>4 квартал 2012</v>
      </c>
      <c r="M132" s="245">
        <v>41244</v>
      </c>
      <c r="N132" s="249" t="s">
        <v>560</v>
      </c>
      <c r="O132" s="287" t="s">
        <v>561</v>
      </c>
      <c r="P132" s="249"/>
      <c r="Q132" s="249"/>
      <c r="R132" s="249"/>
      <c r="S132" s="249"/>
      <c r="T132" s="249"/>
      <c r="U132" s="249"/>
      <c r="V132" s="249">
        <v>1</v>
      </c>
      <c r="W132" s="249">
        <v>140000</v>
      </c>
      <c r="X132" s="288"/>
      <c r="Y132" s="237">
        <f t="shared" si="14"/>
        <v>0</v>
      </c>
      <c r="Z132" s="237">
        <f t="shared" si="16"/>
        <v>0</v>
      </c>
    </row>
    <row r="133" spans="1:26" s="141" customFormat="1" ht="51" hidden="1" x14ac:dyDescent="0.2">
      <c r="A133" s="165"/>
      <c r="B133" s="165"/>
      <c r="C133" s="110"/>
      <c r="D133" s="296" t="s">
        <v>482</v>
      </c>
      <c r="E133" s="286" t="s">
        <v>467</v>
      </c>
      <c r="F133" s="110">
        <v>796</v>
      </c>
      <c r="G133" s="287" t="s">
        <v>17</v>
      </c>
      <c r="H133" s="287">
        <f>V133</f>
        <v>150</v>
      </c>
      <c r="I133" s="151">
        <v>98401</v>
      </c>
      <c r="J133" s="287" t="s">
        <v>429</v>
      </c>
      <c r="K133" s="249">
        <f>W133</f>
        <v>207000</v>
      </c>
      <c r="L133" s="246" t="str">
        <f t="shared" si="18"/>
        <v>4 квартал 2012</v>
      </c>
      <c r="M133" s="245">
        <v>41244</v>
      </c>
      <c r="N133" s="249" t="s">
        <v>560</v>
      </c>
      <c r="O133" s="287" t="s">
        <v>561</v>
      </c>
      <c r="P133" s="249"/>
      <c r="Q133" s="249"/>
      <c r="R133" s="249"/>
      <c r="S133" s="249"/>
      <c r="T133" s="249"/>
      <c r="U133" s="249"/>
      <c r="V133" s="249">
        <v>150</v>
      </c>
      <c r="W133" s="249">
        <v>207000</v>
      </c>
      <c r="X133" s="288"/>
      <c r="Y133" s="237">
        <f t="shared" si="14"/>
        <v>0</v>
      </c>
      <c r="Z133" s="237">
        <f t="shared" si="16"/>
        <v>0</v>
      </c>
    </row>
    <row r="134" spans="1:26" s="141" customFormat="1" ht="12.75" hidden="1" x14ac:dyDescent="0.2">
      <c r="A134" s="165"/>
      <c r="B134" s="165" t="s">
        <v>410</v>
      </c>
      <c r="C134" s="110">
        <v>5235020</v>
      </c>
      <c r="D134" s="285" t="s">
        <v>230</v>
      </c>
      <c r="E134" s="286"/>
      <c r="F134" s="110">
        <v>796</v>
      </c>
      <c r="G134" s="287" t="s">
        <v>17</v>
      </c>
      <c r="H134" s="287">
        <v>73</v>
      </c>
      <c r="I134" s="151">
        <v>98401</v>
      </c>
      <c r="J134" s="287" t="s">
        <v>429</v>
      </c>
      <c r="K134" s="249">
        <v>729000</v>
      </c>
      <c r="L134" s="246" t="str">
        <f t="shared" si="18"/>
        <v>3 квартал 2012</v>
      </c>
      <c r="M134" s="249"/>
      <c r="N134" s="249"/>
      <c r="O134" s="287"/>
      <c r="P134" s="249"/>
      <c r="Q134" s="249"/>
      <c r="R134" s="249"/>
      <c r="S134" s="249"/>
      <c r="T134" s="249">
        <v>73</v>
      </c>
      <c r="U134" s="249">
        <v>729000</v>
      </c>
      <c r="V134" s="249"/>
      <c r="W134" s="249"/>
      <c r="X134" s="288"/>
      <c r="Y134" s="237">
        <f t="shared" si="14"/>
        <v>0</v>
      </c>
      <c r="Z134" s="237">
        <f t="shared" si="16"/>
        <v>0</v>
      </c>
    </row>
    <row r="135" spans="1:26" s="141" customFormat="1" ht="12.75" x14ac:dyDescent="0.2">
      <c r="A135" s="165"/>
      <c r="B135" s="165" t="s">
        <v>410</v>
      </c>
      <c r="C135" s="110">
        <v>5235020</v>
      </c>
      <c r="D135" s="285" t="s">
        <v>352</v>
      </c>
      <c r="E135" s="286"/>
      <c r="F135" s="286"/>
      <c r="G135" s="287"/>
      <c r="H135" s="287">
        <f>T135</f>
        <v>150</v>
      </c>
      <c r="I135" s="151">
        <v>98401</v>
      </c>
      <c r="J135" s="287" t="s">
        <v>429</v>
      </c>
      <c r="K135" s="249">
        <f>U135</f>
        <v>90000</v>
      </c>
      <c r="L135" s="246" t="str">
        <f>IF(Q135&gt;0,"1 квартал 2012",IF(S135&gt;0,"2 квартал 2012",IF(U135&gt;0,"3 квартал 2012","4 квартал 2012")))</f>
        <v>3 квартал 2012</v>
      </c>
      <c r="M135" s="249"/>
      <c r="N135" s="249"/>
      <c r="O135" s="287"/>
      <c r="P135" s="249"/>
      <c r="Q135" s="249"/>
      <c r="R135" s="249"/>
      <c r="S135" s="249"/>
      <c r="T135" s="249">
        <v>150</v>
      </c>
      <c r="U135" s="249">
        <v>90000</v>
      </c>
      <c r="V135" s="249"/>
      <c r="W135" s="249"/>
      <c r="X135" s="288"/>
      <c r="Y135" s="237">
        <f t="shared" si="14"/>
        <v>0</v>
      </c>
      <c r="Z135" s="237">
        <f>K135-Q135-S135-U135-W135</f>
        <v>0</v>
      </c>
    </row>
    <row r="136" spans="1:26" s="141" customFormat="1" ht="25.5" x14ac:dyDescent="0.2">
      <c r="A136" s="165"/>
      <c r="B136" s="165" t="s">
        <v>410</v>
      </c>
      <c r="C136" s="110">
        <v>5235020</v>
      </c>
      <c r="D136" s="285" t="s">
        <v>355</v>
      </c>
      <c r="E136" s="286"/>
      <c r="F136" s="286"/>
      <c r="G136" s="287"/>
      <c r="H136" s="287">
        <v>1</v>
      </c>
      <c r="I136" s="151">
        <v>98401</v>
      </c>
      <c r="J136" s="287" t="s">
        <v>429</v>
      </c>
      <c r="K136" s="249">
        <v>100000</v>
      </c>
      <c r="L136" s="246" t="str">
        <f>IF(Q136&gt;0,"1 квартал 2012",IF(S136&gt;0,"2 квартал 2012",IF(U136&gt;0,"3 квартал 2012","4 квартал 2012")))</f>
        <v>1 квартал 2012</v>
      </c>
      <c r="M136" s="249"/>
      <c r="N136" s="249"/>
      <c r="O136" s="287"/>
      <c r="P136" s="249">
        <v>1</v>
      </c>
      <c r="Q136" s="249">
        <v>100000</v>
      </c>
      <c r="R136" s="249"/>
      <c r="S136" s="249"/>
      <c r="T136" s="249"/>
      <c r="U136" s="249"/>
      <c r="V136" s="249"/>
      <c r="W136" s="249"/>
      <c r="X136" s="288"/>
      <c r="Y136" s="237">
        <f t="shared" si="14"/>
        <v>0</v>
      </c>
      <c r="Z136" s="237">
        <f>K136-Q136-S136-U136-W136</f>
        <v>0</v>
      </c>
    </row>
    <row r="137" spans="1:26" s="230" customFormat="1" ht="38.25" hidden="1" x14ac:dyDescent="0.2">
      <c r="A137" s="156" t="s">
        <v>549</v>
      </c>
      <c r="B137" s="156" t="s">
        <v>410</v>
      </c>
      <c r="C137" s="157">
        <v>5235020</v>
      </c>
      <c r="D137" s="301" t="s">
        <v>554</v>
      </c>
      <c r="E137" s="282"/>
      <c r="F137" s="282">
        <v>796</v>
      </c>
      <c r="G137" s="279" t="s">
        <v>17</v>
      </c>
      <c r="H137" s="279">
        <v>1</v>
      </c>
      <c r="I137" s="283">
        <v>98401</v>
      </c>
      <c r="J137" s="279" t="s">
        <v>429</v>
      </c>
      <c r="K137" s="244">
        <v>1600000</v>
      </c>
      <c r="L137" s="279" t="str">
        <f t="shared" si="18"/>
        <v>4 квартал 2012</v>
      </c>
      <c r="M137" s="277">
        <v>41244</v>
      </c>
      <c r="N137" s="244" t="s">
        <v>504</v>
      </c>
      <c r="O137" s="279"/>
      <c r="P137" s="244"/>
      <c r="Q137" s="244"/>
      <c r="R137" s="244"/>
      <c r="S137" s="244"/>
      <c r="T137" s="244"/>
      <c r="U137" s="244"/>
      <c r="V137" s="244">
        <v>1</v>
      </c>
      <c r="W137" s="244">
        <v>1600000</v>
      </c>
      <c r="X137" s="284"/>
      <c r="Y137" s="237">
        <f t="shared" si="14"/>
        <v>0</v>
      </c>
      <c r="Z137" s="237">
        <f t="shared" si="16"/>
        <v>0</v>
      </c>
    </row>
    <row r="138" spans="1:26" s="230" customFormat="1" ht="12.75" hidden="1" x14ac:dyDescent="0.2">
      <c r="A138" s="156" t="s">
        <v>550</v>
      </c>
      <c r="B138" s="156" t="s">
        <v>412</v>
      </c>
      <c r="C138" s="157">
        <v>2109020</v>
      </c>
      <c r="D138" s="301" t="s">
        <v>555</v>
      </c>
      <c r="E138" s="282"/>
      <c r="F138" s="282">
        <v>796</v>
      </c>
      <c r="G138" s="279" t="s">
        <v>241</v>
      </c>
      <c r="H138" s="279">
        <v>2137</v>
      </c>
      <c r="I138" s="283">
        <v>98401</v>
      </c>
      <c r="J138" s="279" t="s">
        <v>429</v>
      </c>
      <c r="K138" s="244">
        <v>346194</v>
      </c>
      <c r="L138" s="279" t="s">
        <v>516</v>
      </c>
      <c r="M138" s="279"/>
      <c r="N138" s="244"/>
      <c r="O138" s="279"/>
      <c r="P138" s="244">
        <v>2137</v>
      </c>
      <c r="Q138" s="244">
        <v>346194</v>
      </c>
      <c r="R138" s="244"/>
      <c r="S138" s="244"/>
      <c r="T138" s="244"/>
      <c r="U138" s="244"/>
      <c r="V138" s="244"/>
      <c r="W138" s="244"/>
      <c r="X138" s="284"/>
      <c r="Y138" s="237">
        <f t="shared" si="14"/>
        <v>0</v>
      </c>
      <c r="Z138" s="237">
        <v>0</v>
      </c>
    </row>
    <row r="139" spans="1:26" s="230" customFormat="1" ht="12.75" hidden="1" x14ac:dyDescent="0.2">
      <c r="A139" s="156" t="s">
        <v>551</v>
      </c>
      <c r="B139" s="156"/>
      <c r="C139" s="157"/>
      <c r="D139" s="301" t="s">
        <v>491</v>
      </c>
      <c r="E139" s="282"/>
      <c r="F139" s="282"/>
      <c r="G139" s="279"/>
      <c r="H139" s="279"/>
      <c r="I139" s="283"/>
      <c r="J139" s="279"/>
      <c r="K139" s="244">
        <f>SUM(K140:K141)</f>
        <v>613400</v>
      </c>
      <c r="L139" s="244"/>
      <c r="M139" s="244"/>
      <c r="N139" s="244"/>
      <c r="O139" s="279"/>
      <c r="P139" s="244">
        <f t="shared" ref="P139:W139" si="19">SUM(P140:P141)</f>
        <v>0</v>
      </c>
      <c r="Q139" s="244">
        <f t="shared" si="19"/>
        <v>0</v>
      </c>
      <c r="R139" s="244">
        <f t="shared" si="19"/>
        <v>7936.5079365079364</v>
      </c>
      <c r="S139" s="244">
        <f t="shared" si="19"/>
        <v>45000</v>
      </c>
      <c r="T139" s="244">
        <f t="shared" si="19"/>
        <v>6049.7460317460318</v>
      </c>
      <c r="U139" s="244">
        <f t="shared" si="19"/>
        <v>534200</v>
      </c>
      <c r="V139" s="244">
        <f t="shared" si="19"/>
        <v>6031.7460317460318</v>
      </c>
      <c r="W139" s="244">
        <f t="shared" si="19"/>
        <v>34200</v>
      </c>
      <c r="X139" s="284"/>
      <c r="Y139" s="237"/>
      <c r="Z139" s="237">
        <f>K139-Q139-S139-U139-W139</f>
        <v>0</v>
      </c>
    </row>
    <row r="140" spans="1:26" s="141" customFormat="1" ht="25.5" hidden="1" x14ac:dyDescent="0.2">
      <c r="A140" s="165"/>
      <c r="B140" s="165" t="s">
        <v>419</v>
      </c>
      <c r="C140" s="110">
        <v>6611020</v>
      </c>
      <c r="D140" s="285" t="s">
        <v>337</v>
      </c>
      <c r="E140" s="286"/>
      <c r="F140" s="286">
        <v>792</v>
      </c>
      <c r="G140" s="287" t="s">
        <v>103</v>
      </c>
      <c r="H140" s="290">
        <v>18</v>
      </c>
      <c r="I140" s="151">
        <v>98401</v>
      </c>
      <c r="J140" s="287" t="s">
        <v>429</v>
      </c>
      <c r="K140" s="247">
        <v>500000</v>
      </c>
      <c r="L140" s="246" t="str">
        <f>IF(Q140&gt;0,"1 квартал 2012",IF(S140&gt;0,"2 квартал 2012",IF(U140&gt;0,"3 квартал 2012","4 квартал 2012")))</f>
        <v>3 квартал 2012</v>
      </c>
      <c r="M140" s="247"/>
      <c r="N140" s="247"/>
      <c r="O140" s="246"/>
      <c r="P140" s="249"/>
      <c r="Q140" s="302"/>
      <c r="R140" s="249"/>
      <c r="S140" s="247"/>
      <c r="T140" s="249">
        <v>18</v>
      </c>
      <c r="U140" s="247">
        <v>500000</v>
      </c>
      <c r="V140" s="248"/>
      <c r="W140" s="248"/>
      <c r="X140" s="302"/>
      <c r="Y140" s="237">
        <f t="shared" si="14"/>
        <v>0</v>
      </c>
      <c r="Z140" s="237">
        <f>K140-Q140-S140-U140-W140</f>
        <v>0</v>
      </c>
    </row>
    <row r="141" spans="1:26" s="141" customFormat="1" ht="12.75" hidden="1" x14ac:dyDescent="0.2">
      <c r="A141" s="165"/>
      <c r="B141" s="165"/>
      <c r="C141" s="110"/>
      <c r="D141" s="285" t="s">
        <v>354</v>
      </c>
      <c r="E141" s="286"/>
      <c r="F141" s="110">
        <v>112</v>
      </c>
      <c r="G141" s="287" t="s">
        <v>498</v>
      </c>
      <c r="H141" s="290">
        <v>20000</v>
      </c>
      <c r="I141" s="151">
        <v>98401</v>
      </c>
      <c r="J141" s="287" t="s">
        <v>429</v>
      </c>
      <c r="K141" s="247">
        <v>113400</v>
      </c>
      <c r="L141" s="246" t="str">
        <f>IF(Q141&gt;0,"1 квартал 2012",IF(S141&gt;0,"2 квартал 2012",IF(U141&gt;0,"3 квартал 2012","4 квартал 2012")))</f>
        <v>2 квартал 2012</v>
      </c>
      <c r="M141" s="247"/>
      <c r="N141" s="247"/>
      <c r="O141" s="246"/>
      <c r="P141" s="249"/>
      <c r="Q141" s="302"/>
      <c r="R141" s="249">
        <f>S141/(K141/H141)</f>
        <v>7936.5079365079364</v>
      </c>
      <c r="S141" s="247">
        <v>45000</v>
      </c>
      <c r="T141" s="249">
        <f>U141/(K141/H141)</f>
        <v>6031.7460317460318</v>
      </c>
      <c r="U141" s="247">
        <v>34200</v>
      </c>
      <c r="V141" s="249">
        <f>W141/(K141/H141)</f>
        <v>6031.7460317460318</v>
      </c>
      <c r="W141" s="248">
        <v>34200</v>
      </c>
      <c r="X141" s="302"/>
      <c r="Y141" s="237">
        <f t="shared" si="14"/>
        <v>0</v>
      </c>
      <c r="Z141" s="237">
        <f>K141-Q141-S141-U141-W141</f>
        <v>0</v>
      </c>
    </row>
    <row r="142" spans="1:26" s="230" customFormat="1" ht="38.25" hidden="1" x14ac:dyDescent="0.2">
      <c r="A142" s="156" t="s">
        <v>552</v>
      </c>
      <c r="B142" s="156"/>
      <c r="C142" s="157"/>
      <c r="D142" s="281" t="s">
        <v>327</v>
      </c>
      <c r="E142" s="282"/>
      <c r="F142" s="282">
        <v>796</v>
      </c>
      <c r="G142" s="279" t="s">
        <v>17</v>
      </c>
      <c r="H142" s="279">
        <v>149</v>
      </c>
      <c r="I142" s="283">
        <v>98401</v>
      </c>
      <c r="J142" s="279" t="s">
        <v>429</v>
      </c>
      <c r="K142" s="244">
        <v>295000</v>
      </c>
      <c r="L142" s="244"/>
      <c r="M142" s="244"/>
      <c r="N142" s="244"/>
      <c r="O142" s="279"/>
      <c r="P142" s="244"/>
      <c r="Q142" s="244"/>
      <c r="R142" s="244">
        <v>149</v>
      </c>
      <c r="S142" s="244">
        <v>295000</v>
      </c>
      <c r="T142" s="244"/>
      <c r="U142" s="244"/>
      <c r="V142" s="244"/>
      <c r="W142" s="244"/>
      <c r="X142" s="284"/>
      <c r="Y142" s="237">
        <f t="shared" si="14"/>
        <v>0</v>
      </c>
      <c r="Z142" s="237">
        <f>K142-Q142-S142-U142-W142</f>
        <v>0</v>
      </c>
    </row>
    <row r="143" spans="1:26" s="230" customFormat="1" ht="12.75" hidden="1" x14ac:dyDescent="0.2">
      <c r="A143" s="156"/>
      <c r="B143" s="156"/>
      <c r="C143" s="157"/>
      <c r="D143" s="281" t="s">
        <v>328</v>
      </c>
      <c r="E143" s="282"/>
      <c r="F143" s="282"/>
      <c r="G143" s="279"/>
      <c r="H143" s="279"/>
      <c r="I143" s="283"/>
      <c r="J143" s="279"/>
      <c r="K143" s="244">
        <f>K20+K23+K26+K33+K36+K37+K43+K50+K51+K52+K53+K57+K58+K67+K68+K116+K137+K138+K139+K142</f>
        <v>52834926.265839927</v>
      </c>
      <c r="L143" s="244"/>
      <c r="M143" s="244"/>
      <c r="N143" s="244"/>
      <c r="O143" s="279"/>
      <c r="P143" s="244"/>
      <c r="Q143" s="244">
        <f>Q20+Q23+Q26+Q33+Q36+Q37+Q43+Q50+Q51+Q52+Q53+Q57+Q58+Q67+Q68+Q116+Q137+Q138+Q139+Q142</f>
        <v>17531518.265839927</v>
      </c>
      <c r="R143" s="244"/>
      <c r="S143" s="244">
        <f>S20+S23+S26+S33+S36+S37+S43+S50+S51+S52+S53+S57+S58+S67+S68+S116+S137+S138+S139+S142</f>
        <v>2992250</v>
      </c>
      <c r="T143" s="244"/>
      <c r="U143" s="244">
        <f>U20+U23+U26+U33+U36+U37+U43+U50+U51+U52+U53+U57+U58+U67+U68+U116+U137+U138+U139+U142</f>
        <v>5541954</v>
      </c>
      <c r="V143" s="244"/>
      <c r="W143" s="244">
        <f>W20+W23+W26+W33+W36+W37+W43+W50+W51+W52+W53+W57+W58+W67+W68+W116+W137+W138+W139+W142</f>
        <v>26769204</v>
      </c>
      <c r="X143" s="284"/>
      <c r="Y143" s="237">
        <f>H143-P143-R143-T143-V143</f>
        <v>0</v>
      </c>
      <c r="Z143" s="237">
        <f>K143-Q143-S143-U143-W143</f>
        <v>0</v>
      </c>
    </row>
    <row r="144" spans="1:26" hidden="1" x14ac:dyDescent="0.25">
      <c r="A144" s="2"/>
      <c r="B144" s="127"/>
      <c r="D144" s="276"/>
      <c r="E144" s="44"/>
      <c r="F144" s="44"/>
      <c r="G144" s="2"/>
      <c r="J144" s="2"/>
      <c r="K144" s="78"/>
      <c r="L144" s="78"/>
      <c r="M144" s="78"/>
      <c r="N144" s="262"/>
      <c r="O144" s="78"/>
    </row>
    <row r="145" spans="1:15" hidden="1" x14ac:dyDescent="0.25">
      <c r="A145" s="2"/>
      <c r="B145" s="127"/>
      <c r="D145" s="276" t="s">
        <v>511</v>
      </c>
      <c r="E145" s="44"/>
      <c r="F145" s="44"/>
      <c r="G145" s="2"/>
      <c r="J145" s="2"/>
      <c r="K145" s="78"/>
      <c r="L145" s="78"/>
      <c r="M145" s="78"/>
      <c r="N145" s="262"/>
      <c r="O145" s="78"/>
    </row>
    <row r="146" spans="1:15" hidden="1" x14ac:dyDescent="0.25">
      <c r="B146" s="127"/>
      <c r="D146" s="276"/>
      <c r="E146" s="44"/>
      <c r="F146" s="44"/>
      <c r="G146" s="2"/>
      <c r="J146" s="2"/>
      <c r="K146" s="78"/>
      <c r="L146" s="78"/>
      <c r="M146" s="78"/>
      <c r="N146" s="263"/>
      <c r="O146" s="78"/>
    </row>
    <row r="147" spans="1:15" x14ac:dyDescent="0.25">
      <c r="B147" s="127"/>
      <c r="D147" s="276"/>
      <c r="E147" s="44"/>
      <c r="F147" s="44"/>
      <c r="G147" s="2"/>
      <c r="J147" s="2"/>
      <c r="N147" s="263"/>
    </row>
    <row r="148" spans="1:15" x14ac:dyDescent="0.25">
      <c r="B148" s="127"/>
      <c r="D148" s="276"/>
      <c r="E148" s="44"/>
      <c r="F148" s="44"/>
      <c r="G148" s="2"/>
      <c r="J148" s="2"/>
      <c r="N148" s="263"/>
    </row>
    <row r="149" spans="1:15" x14ac:dyDescent="0.25">
      <c r="B149" s="127"/>
      <c r="D149" s="276"/>
      <c r="E149" s="44"/>
      <c r="F149" s="44"/>
      <c r="G149" s="2"/>
      <c r="J149" s="2"/>
      <c r="N149" s="263"/>
    </row>
    <row r="150" spans="1:15" x14ac:dyDescent="0.25">
      <c r="B150" s="127"/>
      <c r="D150" s="276"/>
      <c r="E150" s="44"/>
      <c r="F150" s="44"/>
      <c r="G150" s="2"/>
      <c r="J150" s="2"/>
      <c r="N150" s="263"/>
    </row>
    <row r="151" spans="1:15" x14ac:dyDescent="0.25">
      <c r="B151" s="127"/>
      <c r="D151" s="276"/>
      <c r="E151" s="44"/>
      <c r="F151" s="44"/>
      <c r="G151" s="2"/>
      <c r="J151" s="2"/>
      <c r="N151" s="263"/>
    </row>
    <row r="152" spans="1:15" x14ac:dyDescent="0.25">
      <c r="A152" s="2"/>
      <c r="B152" s="127"/>
      <c r="D152" s="276"/>
      <c r="E152" s="44"/>
      <c r="F152" s="44"/>
      <c r="G152" s="2"/>
      <c r="J152" s="2"/>
      <c r="N152" s="263"/>
    </row>
    <row r="153" spans="1:15" x14ac:dyDescent="0.25">
      <c r="A153" s="2"/>
      <c r="B153" s="127"/>
      <c r="D153" s="276"/>
      <c r="E153" s="44"/>
      <c r="F153" s="44"/>
      <c r="G153" s="2"/>
      <c r="J153" s="2"/>
      <c r="N153" s="263"/>
    </row>
    <row r="154" spans="1:15" x14ac:dyDescent="0.25">
      <c r="A154" s="2"/>
      <c r="B154" s="127"/>
      <c r="D154" s="276"/>
      <c r="E154" s="44"/>
      <c r="F154" s="44"/>
      <c r="G154" s="2"/>
      <c r="J154" s="2"/>
      <c r="N154" s="263"/>
    </row>
    <row r="155" spans="1:15" x14ac:dyDescent="0.25">
      <c r="A155" s="2"/>
      <c r="B155" s="127"/>
      <c r="D155" s="276"/>
      <c r="E155" s="44"/>
      <c r="F155" s="44"/>
      <c r="G155" s="2"/>
      <c r="J155" s="2"/>
      <c r="N155" s="263"/>
    </row>
    <row r="156" spans="1:15" x14ac:dyDescent="0.25">
      <c r="A156" s="2"/>
      <c r="B156" s="127"/>
      <c r="D156" s="276"/>
      <c r="E156" s="44"/>
      <c r="F156" s="44"/>
      <c r="G156" s="2"/>
      <c r="J156" s="2"/>
      <c r="N156" s="263"/>
    </row>
    <row r="157" spans="1:15" x14ac:dyDescent="0.25">
      <c r="A157" s="2"/>
      <c r="B157" s="127"/>
      <c r="D157" s="276"/>
      <c r="E157" s="44"/>
      <c r="F157" s="44"/>
      <c r="G157" s="2"/>
      <c r="J157" s="2"/>
      <c r="N157" s="263"/>
    </row>
    <row r="158" spans="1:15" x14ac:dyDescent="0.25">
      <c r="A158" s="2"/>
      <c r="B158" s="127"/>
      <c r="D158" s="276"/>
      <c r="E158" s="44"/>
      <c r="F158" s="44"/>
      <c r="G158" s="2"/>
      <c r="J158" s="2"/>
      <c r="N158" s="263"/>
    </row>
    <row r="159" spans="1:15" x14ac:dyDescent="0.25">
      <c r="A159" s="2"/>
      <c r="B159" s="127"/>
      <c r="D159" s="276"/>
      <c r="E159" s="44"/>
      <c r="F159" s="44"/>
      <c r="G159" s="2"/>
      <c r="J159" s="2"/>
      <c r="N159" s="263"/>
    </row>
    <row r="160" spans="1:15" x14ac:dyDescent="0.25">
      <c r="A160" s="2"/>
      <c r="B160" s="127"/>
      <c r="D160" s="276"/>
      <c r="E160" s="44"/>
      <c r="F160" s="44"/>
      <c r="G160" s="2"/>
      <c r="J160" s="2"/>
      <c r="N160" s="263"/>
    </row>
    <row r="161" spans="1:14" x14ac:dyDescent="0.25">
      <c r="A161" s="2"/>
      <c r="B161" s="127"/>
      <c r="D161" s="276"/>
      <c r="E161" s="44"/>
      <c r="F161" s="44"/>
      <c r="G161" s="2"/>
      <c r="J161" s="2"/>
      <c r="N161" s="263"/>
    </row>
    <row r="162" spans="1:14" x14ac:dyDescent="0.25">
      <c r="A162" s="2"/>
      <c r="B162" s="127"/>
      <c r="D162" s="276"/>
      <c r="E162" s="44"/>
      <c r="F162" s="44"/>
      <c r="G162" s="2"/>
      <c r="J162" s="2"/>
      <c r="N162" s="263"/>
    </row>
    <row r="163" spans="1:14" x14ac:dyDescent="0.25">
      <c r="A163" s="2"/>
      <c r="B163" s="127"/>
      <c r="D163" s="276"/>
      <c r="E163" s="44"/>
      <c r="F163" s="44"/>
      <c r="G163" s="2"/>
      <c r="J163" s="2"/>
      <c r="N163" s="263"/>
    </row>
    <row r="164" spans="1:14" x14ac:dyDescent="0.25">
      <c r="A164" s="2"/>
      <c r="B164" s="127"/>
      <c r="D164" s="276"/>
      <c r="E164" s="44"/>
      <c r="F164" s="44"/>
      <c r="G164" s="2"/>
      <c r="J164" s="2"/>
      <c r="N164" s="263"/>
    </row>
    <row r="165" spans="1:14" x14ac:dyDescent="0.25">
      <c r="A165" s="2"/>
      <c r="B165" s="127"/>
      <c r="D165" s="276"/>
      <c r="E165" s="44"/>
      <c r="F165" s="44"/>
      <c r="G165" s="2"/>
      <c r="J165" s="2"/>
      <c r="N165" s="263"/>
    </row>
    <row r="166" spans="1:14" x14ac:dyDescent="0.25">
      <c r="A166" s="2"/>
      <c r="B166" s="127"/>
      <c r="D166" s="276"/>
      <c r="E166" s="44"/>
      <c r="F166" s="44"/>
      <c r="G166" s="2"/>
      <c r="J166" s="2"/>
      <c r="N166" s="263"/>
    </row>
    <row r="167" spans="1:14" x14ac:dyDescent="0.25">
      <c r="A167" s="2"/>
      <c r="B167" s="127"/>
      <c r="D167" s="276"/>
      <c r="E167" s="44"/>
      <c r="F167" s="44"/>
      <c r="G167" s="2"/>
      <c r="J167" s="2"/>
      <c r="N167" s="263"/>
    </row>
    <row r="168" spans="1:14" x14ac:dyDescent="0.25">
      <c r="A168" s="2"/>
      <c r="B168" s="127"/>
      <c r="D168" s="276"/>
      <c r="E168" s="44"/>
      <c r="F168" s="44"/>
      <c r="G168" s="2"/>
      <c r="J168" s="2"/>
      <c r="N168" s="263"/>
    </row>
    <row r="169" spans="1:14" x14ac:dyDescent="0.25">
      <c r="A169" s="2"/>
      <c r="B169" s="127"/>
      <c r="D169" s="276"/>
      <c r="E169" s="44"/>
      <c r="F169" s="44"/>
      <c r="G169" s="2"/>
      <c r="J169" s="2"/>
      <c r="N169" s="263"/>
    </row>
    <row r="170" spans="1:14" x14ac:dyDescent="0.25">
      <c r="A170" s="2"/>
      <c r="B170" s="127"/>
      <c r="D170" s="276"/>
      <c r="E170" s="44"/>
      <c r="F170" s="44"/>
      <c r="G170" s="2"/>
      <c r="J170" s="2"/>
      <c r="N170" s="263"/>
    </row>
    <row r="171" spans="1:14" x14ac:dyDescent="0.25">
      <c r="A171" s="2"/>
      <c r="B171" s="127"/>
      <c r="D171" s="276"/>
      <c r="E171" s="44"/>
      <c r="F171" s="44"/>
      <c r="G171" s="2"/>
      <c r="J171" s="2"/>
      <c r="N171" s="263"/>
    </row>
    <row r="172" spans="1:14" x14ac:dyDescent="0.25">
      <c r="A172" s="2"/>
      <c r="B172" s="127"/>
      <c r="D172" s="276"/>
      <c r="E172" s="44"/>
      <c r="F172" s="44"/>
      <c r="G172" s="2"/>
      <c r="J172" s="2"/>
      <c r="N172" s="263"/>
    </row>
    <row r="173" spans="1:14" x14ac:dyDescent="0.25">
      <c r="A173" s="2"/>
      <c r="B173" s="127"/>
      <c r="D173" s="276"/>
      <c r="E173" s="44"/>
      <c r="F173" s="44"/>
      <c r="G173" s="2"/>
      <c r="J173" s="2"/>
      <c r="N173" s="263"/>
    </row>
    <row r="174" spans="1:14" x14ac:dyDescent="0.25">
      <c r="A174" s="2"/>
      <c r="B174" s="127"/>
      <c r="D174" s="276"/>
      <c r="E174" s="44"/>
      <c r="F174" s="44"/>
      <c r="G174" s="2"/>
      <c r="J174" s="2"/>
      <c r="N174" s="263"/>
    </row>
    <row r="175" spans="1:14" x14ac:dyDescent="0.25">
      <c r="A175" s="2"/>
      <c r="B175" s="127"/>
      <c r="D175" s="276"/>
      <c r="E175" s="44"/>
      <c r="F175" s="44"/>
      <c r="G175" s="2"/>
      <c r="J175" s="2"/>
      <c r="N175" s="263"/>
    </row>
    <row r="176" spans="1:14" x14ac:dyDescent="0.25">
      <c r="A176" s="2"/>
      <c r="B176" s="127"/>
      <c r="D176" s="276"/>
      <c r="E176" s="44"/>
      <c r="F176" s="44"/>
      <c r="G176" s="2"/>
      <c r="J176" s="2"/>
      <c r="N176" s="263"/>
    </row>
    <row r="177" spans="1:14" x14ac:dyDescent="0.25">
      <c r="A177" s="2"/>
      <c r="B177" s="127"/>
      <c r="D177" s="276"/>
      <c r="E177" s="44"/>
      <c r="F177" s="44"/>
      <c r="G177" s="2"/>
      <c r="J177" s="2"/>
      <c r="N177" s="263"/>
    </row>
    <row r="178" spans="1:14" x14ac:dyDescent="0.25">
      <c r="A178" s="2"/>
      <c r="B178" s="127"/>
      <c r="D178" s="276"/>
      <c r="E178" s="44"/>
      <c r="F178" s="44"/>
      <c r="G178" s="2"/>
      <c r="J178" s="2"/>
      <c r="N178" s="263"/>
    </row>
    <row r="179" spans="1:14" x14ac:dyDescent="0.25">
      <c r="A179" s="2"/>
      <c r="B179" s="127"/>
      <c r="D179" s="276"/>
      <c r="E179" s="44"/>
      <c r="F179" s="44"/>
      <c r="G179" s="2"/>
      <c r="J179" s="2"/>
      <c r="N179" s="263"/>
    </row>
    <row r="180" spans="1:14" x14ac:dyDescent="0.25">
      <c r="A180" s="2"/>
      <c r="B180" s="127"/>
      <c r="D180" s="276"/>
      <c r="E180" s="44"/>
      <c r="F180" s="44"/>
      <c r="G180" s="2"/>
      <c r="J180" s="2"/>
      <c r="N180" s="263"/>
    </row>
    <row r="181" spans="1:14" x14ac:dyDescent="0.25">
      <c r="A181" s="2"/>
      <c r="B181" s="127"/>
      <c r="D181" s="276"/>
      <c r="E181" s="44"/>
      <c r="F181" s="44"/>
      <c r="G181" s="2"/>
      <c r="J181" s="2"/>
      <c r="N181" s="263"/>
    </row>
    <row r="182" spans="1:14" x14ac:dyDescent="0.25">
      <c r="A182" s="2"/>
      <c r="B182" s="127"/>
      <c r="D182" s="276"/>
      <c r="E182" s="44"/>
      <c r="F182" s="44"/>
      <c r="G182" s="2"/>
      <c r="J182" s="2"/>
      <c r="N182" s="263"/>
    </row>
    <row r="183" spans="1:14" x14ac:dyDescent="0.25">
      <c r="A183" s="2"/>
      <c r="B183" s="127"/>
      <c r="D183" s="276"/>
      <c r="E183" s="44"/>
      <c r="F183" s="44"/>
      <c r="G183" s="2"/>
      <c r="J183" s="2"/>
      <c r="N183" s="263"/>
    </row>
    <row r="184" spans="1:14" x14ac:dyDescent="0.25">
      <c r="A184" s="2"/>
      <c r="B184" s="127"/>
      <c r="D184" s="276"/>
      <c r="E184" s="44"/>
      <c r="F184" s="44"/>
      <c r="G184" s="2"/>
      <c r="J184" s="2"/>
      <c r="N184" s="263"/>
    </row>
    <row r="185" spans="1:14" x14ac:dyDescent="0.25">
      <c r="A185" s="2"/>
      <c r="B185" s="127"/>
      <c r="D185" s="276"/>
      <c r="E185" s="44"/>
      <c r="F185" s="44"/>
      <c r="G185" s="2"/>
      <c r="J185" s="2"/>
      <c r="N185" s="263"/>
    </row>
    <row r="186" spans="1:14" x14ac:dyDescent="0.25">
      <c r="A186" s="2"/>
      <c r="B186" s="127"/>
      <c r="D186" s="276"/>
      <c r="E186" s="44"/>
      <c r="F186" s="44"/>
      <c r="G186" s="2"/>
      <c r="J186" s="2"/>
      <c r="N186" s="263"/>
    </row>
    <row r="187" spans="1:14" x14ac:dyDescent="0.25">
      <c r="A187" s="2"/>
      <c r="B187" s="127"/>
      <c r="D187" s="276"/>
      <c r="E187" s="44"/>
      <c r="F187" s="44"/>
      <c r="G187" s="2"/>
      <c r="J187" s="2"/>
      <c r="N187" s="263"/>
    </row>
    <row r="188" spans="1:14" x14ac:dyDescent="0.25">
      <c r="A188" s="2"/>
      <c r="B188" s="127"/>
      <c r="D188" s="276"/>
      <c r="E188" s="44"/>
      <c r="F188" s="44"/>
      <c r="G188" s="2"/>
      <c r="J188" s="2"/>
      <c r="N188" s="263"/>
    </row>
    <row r="189" spans="1:14" x14ac:dyDescent="0.25">
      <c r="A189" s="2"/>
      <c r="B189" s="127"/>
      <c r="D189" s="276"/>
      <c r="E189" s="44"/>
      <c r="F189" s="44"/>
      <c r="G189" s="2"/>
      <c r="J189" s="2"/>
      <c r="N189" s="263"/>
    </row>
    <row r="190" spans="1:14" x14ac:dyDescent="0.25">
      <c r="A190" s="2"/>
      <c r="B190" s="127"/>
      <c r="D190" s="276"/>
      <c r="E190" s="44"/>
      <c r="F190" s="44"/>
      <c r="G190" s="2"/>
      <c r="J190" s="2"/>
      <c r="N190" s="263"/>
    </row>
    <row r="191" spans="1:14" x14ac:dyDescent="0.25">
      <c r="A191" s="2"/>
      <c r="B191" s="127"/>
      <c r="D191" s="276"/>
      <c r="E191" s="44"/>
      <c r="F191" s="44"/>
      <c r="G191" s="2"/>
      <c r="J191" s="2"/>
      <c r="N191" s="263"/>
    </row>
    <row r="192" spans="1:14" x14ac:dyDescent="0.25">
      <c r="A192" s="2"/>
      <c r="B192" s="127"/>
      <c r="D192" s="276"/>
      <c r="E192" s="44"/>
      <c r="F192" s="44"/>
      <c r="G192" s="2"/>
      <c r="J192" s="2"/>
      <c r="N192" s="263"/>
    </row>
    <row r="193" spans="1:14" x14ac:dyDescent="0.25">
      <c r="A193" s="2"/>
      <c r="B193" s="127"/>
      <c r="D193" s="276"/>
      <c r="E193" s="44"/>
      <c r="F193" s="44"/>
      <c r="G193" s="2"/>
      <c r="J193" s="2"/>
      <c r="N193" s="263"/>
    </row>
    <row r="194" spans="1:14" x14ac:dyDescent="0.25">
      <c r="A194" s="2"/>
      <c r="B194" s="127"/>
      <c r="D194" s="276"/>
      <c r="E194" s="44"/>
      <c r="F194" s="44"/>
      <c r="G194" s="2"/>
      <c r="J194" s="2"/>
      <c r="N194" s="263"/>
    </row>
    <row r="195" spans="1:14" x14ac:dyDescent="0.25">
      <c r="A195" s="2"/>
      <c r="B195" s="127"/>
      <c r="D195" s="276"/>
      <c r="E195" s="44"/>
      <c r="F195" s="44"/>
      <c r="G195" s="2"/>
      <c r="J195" s="2"/>
      <c r="N195" s="263"/>
    </row>
    <row r="196" spans="1:14" x14ac:dyDescent="0.25">
      <c r="A196" s="2"/>
      <c r="B196" s="127"/>
      <c r="D196" s="276"/>
      <c r="E196" s="44"/>
      <c r="F196" s="44"/>
      <c r="G196" s="2"/>
      <c r="J196" s="2"/>
      <c r="N196" s="263"/>
    </row>
    <row r="197" spans="1:14" x14ac:dyDescent="0.25">
      <c r="A197" s="2"/>
      <c r="B197" s="127"/>
      <c r="D197" s="276"/>
      <c r="E197" s="44"/>
      <c r="F197" s="44"/>
      <c r="G197" s="2"/>
      <c r="J197" s="2"/>
      <c r="N197" s="263"/>
    </row>
    <row r="198" spans="1:14" x14ac:dyDescent="0.25">
      <c r="A198" s="2"/>
      <c r="B198" s="127"/>
      <c r="D198" s="276"/>
      <c r="E198" s="44"/>
      <c r="F198" s="44"/>
      <c r="G198" s="2"/>
      <c r="J198" s="2"/>
      <c r="N198" s="263"/>
    </row>
    <row r="199" spans="1:14" x14ac:dyDescent="0.25">
      <c r="A199" s="2"/>
      <c r="B199" s="127"/>
      <c r="D199" s="276"/>
      <c r="E199" s="44"/>
      <c r="F199" s="44"/>
      <c r="G199" s="2"/>
      <c r="J199" s="2"/>
      <c r="N199" s="263"/>
    </row>
    <row r="200" spans="1:14" x14ac:dyDescent="0.25">
      <c r="A200" s="2"/>
      <c r="B200" s="127"/>
      <c r="D200" s="276"/>
      <c r="E200" s="44"/>
      <c r="F200" s="44"/>
      <c r="G200" s="2"/>
      <c r="J200" s="2"/>
      <c r="N200" s="263"/>
    </row>
    <row r="201" spans="1:14" x14ac:dyDescent="0.25">
      <c r="A201" s="2"/>
      <c r="B201" s="127"/>
      <c r="D201" s="276"/>
      <c r="E201" s="44"/>
      <c r="F201" s="44"/>
      <c r="G201" s="2"/>
      <c r="J201" s="2"/>
      <c r="N201" s="263"/>
    </row>
    <row r="202" spans="1:14" x14ac:dyDescent="0.25">
      <c r="A202" s="2"/>
      <c r="B202" s="127"/>
      <c r="D202" s="276"/>
      <c r="E202" s="44"/>
      <c r="F202" s="44"/>
      <c r="G202" s="2"/>
      <c r="J202" s="2"/>
      <c r="N202" s="263"/>
    </row>
    <row r="203" spans="1:14" x14ac:dyDescent="0.25">
      <c r="A203" s="2"/>
      <c r="B203" s="127"/>
      <c r="D203" s="276"/>
      <c r="E203" s="44"/>
      <c r="F203" s="44"/>
      <c r="G203" s="2"/>
      <c r="J203" s="2"/>
      <c r="N203" s="263"/>
    </row>
    <row r="204" spans="1:14" x14ac:dyDescent="0.25">
      <c r="A204" s="2"/>
      <c r="B204" s="127"/>
      <c r="D204" s="276"/>
      <c r="E204" s="44"/>
      <c r="F204" s="44"/>
      <c r="G204" s="2"/>
      <c r="J204" s="2"/>
      <c r="N204" s="263"/>
    </row>
    <row r="205" spans="1:14" x14ac:dyDescent="0.25">
      <c r="A205" s="2"/>
      <c r="B205" s="127"/>
      <c r="D205" s="276"/>
      <c r="E205" s="44"/>
      <c r="F205" s="44"/>
      <c r="G205" s="2"/>
      <c r="J205" s="2"/>
      <c r="N205" s="263"/>
    </row>
    <row r="206" spans="1:14" x14ac:dyDescent="0.25">
      <c r="A206" s="2"/>
      <c r="B206" s="127"/>
      <c r="D206" s="276"/>
      <c r="E206" s="44"/>
      <c r="F206" s="44"/>
      <c r="G206" s="2"/>
      <c r="J206" s="2"/>
      <c r="N206" s="263"/>
    </row>
    <row r="207" spans="1:14" x14ac:dyDescent="0.25">
      <c r="A207" s="2"/>
      <c r="B207" s="127"/>
      <c r="D207" s="276"/>
      <c r="E207" s="44"/>
      <c r="F207" s="44"/>
      <c r="G207" s="2"/>
      <c r="J207" s="2"/>
      <c r="N207" s="263"/>
    </row>
    <row r="208" spans="1:14" x14ac:dyDescent="0.25">
      <c r="A208" s="2"/>
      <c r="B208" s="127"/>
      <c r="D208" s="276"/>
      <c r="E208" s="44"/>
      <c r="F208" s="44"/>
      <c r="G208" s="2"/>
      <c r="J208" s="2"/>
      <c r="N208" s="263"/>
    </row>
    <row r="209" spans="1:14" x14ac:dyDescent="0.25">
      <c r="A209" s="2"/>
      <c r="B209" s="127"/>
      <c r="D209" s="276"/>
      <c r="E209" s="44"/>
      <c r="F209" s="44"/>
      <c r="G209" s="2"/>
      <c r="J209" s="2"/>
      <c r="N209" s="263"/>
    </row>
    <row r="210" spans="1:14" x14ac:dyDescent="0.25">
      <c r="A210" s="2"/>
      <c r="B210" s="127"/>
      <c r="D210" s="276"/>
      <c r="E210" s="44"/>
      <c r="F210" s="44"/>
      <c r="G210" s="2"/>
      <c r="J210" s="2"/>
      <c r="N210" s="263"/>
    </row>
    <row r="211" spans="1:14" x14ac:dyDescent="0.25">
      <c r="A211" s="2"/>
      <c r="B211" s="127"/>
      <c r="D211" s="276"/>
      <c r="E211" s="44"/>
      <c r="F211" s="44"/>
      <c r="G211" s="2"/>
      <c r="J211" s="2"/>
      <c r="N211" s="263"/>
    </row>
    <row r="212" spans="1:14" x14ac:dyDescent="0.25">
      <c r="A212" s="2"/>
      <c r="B212" s="127"/>
      <c r="D212" s="276"/>
      <c r="E212" s="44"/>
      <c r="F212" s="44"/>
      <c r="G212" s="2"/>
      <c r="J212" s="2"/>
      <c r="N212" s="263"/>
    </row>
    <row r="213" spans="1:14" x14ac:dyDescent="0.25">
      <c r="A213" s="2"/>
      <c r="B213" s="127"/>
      <c r="D213" s="276"/>
      <c r="E213" s="44"/>
      <c r="F213" s="44"/>
      <c r="G213" s="2"/>
      <c r="J213" s="2"/>
      <c r="N213" s="263"/>
    </row>
    <row r="214" spans="1:14" x14ac:dyDescent="0.25">
      <c r="A214" s="2"/>
      <c r="B214" s="127"/>
      <c r="D214" s="276"/>
      <c r="E214" s="44"/>
      <c r="F214" s="44"/>
      <c r="G214" s="2"/>
      <c r="J214" s="2"/>
      <c r="N214" s="263"/>
    </row>
    <row r="215" spans="1:14" x14ac:dyDescent="0.25">
      <c r="A215" s="2"/>
      <c r="B215" s="127"/>
      <c r="D215" s="276"/>
      <c r="E215" s="44"/>
      <c r="F215" s="44"/>
      <c r="G215" s="2"/>
      <c r="J215" s="2"/>
      <c r="N215" s="263"/>
    </row>
    <row r="216" spans="1:14" x14ac:dyDescent="0.25">
      <c r="A216" s="2"/>
      <c r="B216" s="127"/>
      <c r="D216" s="276"/>
      <c r="E216" s="44"/>
      <c r="F216" s="44"/>
      <c r="G216" s="2"/>
      <c r="J216" s="2"/>
      <c r="N216" s="263"/>
    </row>
    <row r="217" spans="1:14" x14ac:dyDescent="0.25">
      <c r="A217" s="2"/>
      <c r="B217" s="127"/>
      <c r="D217" s="276"/>
      <c r="E217" s="44"/>
      <c r="F217" s="44"/>
      <c r="G217" s="2"/>
      <c r="J217" s="2"/>
      <c r="N217" s="263"/>
    </row>
    <row r="218" spans="1:14" x14ac:dyDescent="0.25">
      <c r="A218" s="2"/>
      <c r="B218" s="127"/>
      <c r="D218" s="276"/>
      <c r="E218" s="44"/>
      <c r="F218" s="44"/>
      <c r="G218" s="2"/>
      <c r="J218" s="2"/>
      <c r="N218" s="263"/>
    </row>
    <row r="219" spans="1:14" x14ac:dyDescent="0.25">
      <c r="A219" s="2"/>
      <c r="B219" s="127"/>
      <c r="D219" s="276"/>
      <c r="E219" s="44"/>
      <c r="F219" s="44"/>
      <c r="G219" s="2"/>
      <c r="J219" s="2"/>
      <c r="N219" s="263"/>
    </row>
    <row r="220" spans="1:14" x14ac:dyDescent="0.25">
      <c r="A220" s="2"/>
      <c r="B220" s="127"/>
      <c r="D220" s="276"/>
      <c r="E220" s="44"/>
      <c r="F220" s="44"/>
      <c r="G220" s="2"/>
      <c r="J220" s="2"/>
      <c r="N220" s="263"/>
    </row>
    <row r="221" spans="1:14" x14ac:dyDescent="0.25">
      <c r="A221" s="2"/>
      <c r="B221" s="127"/>
      <c r="D221" s="276"/>
      <c r="E221" s="44"/>
      <c r="F221" s="44"/>
      <c r="G221" s="2"/>
      <c r="J221" s="2"/>
      <c r="N221" s="263"/>
    </row>
    <row r="222" spans="1:14" x14ac:dyDescent="0.25">
      <c r="A222" s="2"/>
      <c r="B222" s="127"/>
      <c r="D222" s="276"/>
      <c r="E222" s="44"/>
      <c r="F222" s="44"/>
      <c r="G222" s="2"/>
      <c r="J222" s="2"/>
      <c r="N222" s="263"/>
    </row>
    <row r="223" spans="1:14" x14ac:dyDescent="0.25">
      <c r="A223" s="2"/>
      <c r="B223" s="127"/>
      <c r="D223" s="276"/>
      <c r="E223" s="44"/>
      <c r="F223" s="44"/>
      <c r="G223" s="2"/>
      <c r="J223" s="2"/>
      <c r="N223" s="263"/>
    </row>
    <row r="224" spans="1:14" x14ac:dyDescent="0.25">
      <c r="A224" s="2"/>
      <c r="B224" s="127"/>
      <c r="D224" s="276"/>
      <c r="E224" s="44"/>
      <c r="F224" s="44"/>
      <c r="G224" s="2"/>
      <c r="J224" s="2"/>
      <c r="N224" s="263"/>
    </row>
    <row r="225" spans="1:14" x14ac:dyDescent="0.25">
      <c r="A225" s="2"/>
      <c r="B225" s="127"/>
      <c r="D225" s="276"/>
      <c r="E225" s="44"/>
      <c r="F225" s="44"/>
      <c r="G225" s="2"/>
      <c r="J225" s="2"/>
      <c r="N225" s="263"/>
    </row>
    <row r="226" spans="1:14" x14ac:dyDescent="0.25">
      <c r="A226" s="2"/>
      <c r="B226" s="127"/>
      <c r="D226" s="276"/>
      <c r="E226" s="44"/>
      <c r="F226" s="44"/>
      <c r="G226" s="2"/>
      <c r="J226" s="2"/>
      <c r="N226" s="263"/>
    </row>
    <row r="227" spans="1:14" x14ac:dyDescent="0.25">
      <c r="A227" s="2"/>
      <c r="B227" s="127"/>
      <c r="D227" s="276"/>
      <c r="E227" s="44"/>
      <c r="F227" s="44"/>
      <c r="G227" s="2"/>
      <c r="J227" s="2"/>
      <c r="N227" s="263"/>
    </row>
    <row r="228" spans="1:14" x14ac:dyDescent="0.25">
      <c r="A228" s="2"/>
      <c r="B228" s="127"/>
      <c r="D228" s="276"/>
      <c r="E228" s="44"/>
      <c r="F228" s="44"/>
      <c r="G228" s="2"/>
      <c r="J228" s="2"/>
      <c r="N228" s="263"/>
    </row>
    <row r="229" spans="1:14" x14ac:dyDescent="0.25">
      <c r="A229" s="2"/>
      <c r="B229" s="127"/>
      <c r="D229" s="276"/>
      <c r="E229" s="44"/>
      <c r="F229" s="44"/>
      <c r="G229" s="2"/>
      <c r="J229" s="2"/>
      <c r="N229" s="263"/>
    </row>
    <row r="230" spans="1:14" x14ac:dyDescent="0.25">
      <c r="A230" s="2"/>
      <c r="B230" s="127"/>
      <c r="D230" s="276"/>
      <c r="E230" s="44"/>
      <c r="F230" s="44"/>
      <c r="G230" s="2"/>
      <c r="J230" s="2"/>
      <c r="N230" s="263"/>
    </row>
    <row r="231" spans="1:14" x14ac:dyDescent="0.25">
      <c r="A231" s="2"/>
      <c r="B231" s="127"/>
      <c r="D231" s="276"/>
      <c r="E231" s="44"/>
      <c r="F231" s="44"/>
      <c r="G231" s="2"/>
      <c r="J231" s="2"/>
      <c r="N231" s="263"/>
    </row>
    <row r="232" spans="1:14" x14ac:dyDescent="0.25">
      <c r="A232" s="2"/>
      <c r="B232" s="127"/>
      <c r="D232" s="276"/>
      <c r="E232" s="44"/>
      <c r="F232" s="44"/>
      <c r="G232" s="2"/>
      <c r="J232" s="2"/>
      <c r="N232" s="263"/>
    </row>
    <row r="233" spans="1:14" x14ac:dyDescent="0.25">
      <c r="A233" s="2"/>
      <c r="B233" s="127"/>
      <c r="D233" s="276"/>
      <c r="E233" s="44"/>
      <c r="F233" s="44"/>
      <c r="G233" s="2"/>
      <c r="J233" s="2"/>
      <c r="N233" s="263"/>
    </row>
    <row r="234" spans="1:14" x14ac:dyDescent="0.25">
      <c r="A234" s="2"/>
      <c r="B234" s="127"/>
      <c r="D234" s="276"/>
      <c r="E234" s="44"/>
      <c r="F234" s="44"/>
      <c r="G234" s="2"/>
      <c r="J234" s="2"/>
      <c r="N234" s="263"/>
    </row>
    <row r="235" spans="1:14" x14ac:dyDescent="0.25">
      <c r="A235" s="2"/>
      <c r="B235" s="127"/>
      <c r="D235" s="276"/>
      <c r="E235" s="44"/>
      <c r="F235" s="44"/>
      <c r="G235" s="2"/>
      <c r="J235" s="2"/>
      <c r="N235" s="263"/>
    </row>
    <row r="236" spans="1:14" x14ac:dyDescent="0.25">
      <c r="A236" s="2"/>
      <c r="B236" s="127"/>
      <c r="D236" s="276"/>
      <c r="E236" s="44"/>
      <c r="F236" s="44"/>
      <c r="G236" s="2"/>
      <c r="J236" s="2"/>
      <c r="N236" s="263"/>
    </row>
    <row r="237" spans="1:14" x14ac:dyDescent="0.25">
      <c r="A237" s="2"/>
      <c r="B237" s="127"/>
      <c r="D237" s="276"/>
      <c r="E237" s="44"/>
      <c r="F237" s="44"/>
      <c r="G237" s="2"/>
      <c r="J237" s="2"/>
      <c r="N237" s="263"/>
    </row>
    <row r="238" spans="1:14" x14ac:dyDescent="0.25">
      <c r="A238" s="2"/>
      <c r="B238" s="127"/>
      <c r="D238" s="276"/>
      <c r="E238" s="44"/>
      <c r="F238" s="44"/>
      <c r="G238" s="2"/>
      <c r="N238" s="263"/>
    </row>
    <row r="239" spans="1:14" x14ac:dyDescent="0.25">
      <c r="A239" s="2"/>
      <c r="B239" s="127"/>
      <c r="D239" s="276"/>
      <c r="E239" s="44"/>
      <c r="F239" s="44"/>
      <c r="G239" s="2"/>
      <c r="N239" s="263"/>
    </row>
    <row r="240" spans="1:14" x14ac:dyDescent="0.25">
      <c r="A240" s="2"/>
      <c r="B240" s="127"/>
      <c r="D240" s="3"/>
      <c r="E240" s="44"/>
      <c r="F240" s="44"/>
      <c r="G240" s="2"/>
      <c r="N240" s="263"/>
    </row>
    <row r="241" spans="1:14" x14ac:dyDescent="0.25">
      <c r="A241" s="2"/>
      <c r="B241" s="127"/>
      <c r="D241" s="3"/>
      <c r="E241" s="44"/>
      <c r="F241" s="44"/>
      <c r="G241" s="2"/>
      <c r="N241" s="263"/>
    </row>
    <row r="242" spans="1:14" x14ac:dyDescent="0.25">
      <c r="A242" s="2"/>
      <c r="B242" s="127"/>
      <c r="D242" s="3"/>
      <c r="E242" s="44"/>
      <c r="F242" s="44"/>
      <c r="G242" s="2"/>
      <c r="N242" s="263"/>
    </row>
    <row r="243" spans="1:14" x14ac:dyDescent="0.25">
      <c r="A243" s="2"/>
      <c r="B243" s="127"/>
      <c r="D243" s="3"/>
      <c r="E243" s="44"/>
      <c r="F243" s="44"/>
      <c r="G243" s="2"/>
      <c r="N243" s="263"/>
    </row>
    <row r="244" spans="1:14" x14ac:dyDescent="0.25">
      <c r="A244" s="2"/>
      <c r="B244" s="127"/>
      <c r="D244" s="3"/>
      <c r="E244" s="44"/>
      <c r="F244" s="44"/>
      <c r="G244" s="2"/>
      <c r="N244" s="263"/>
    </row>
    <row r="245" spans="1:14" x14ac:dyDescent="0.25">
      <c r="A245" s="2"/>
      <c r="B245" s="127"/>
      <c r="D245" s="3"/>
      <c r="E245" s="44"/>
      <c r="F245" s="44"/>
      <c r="G245" s="2"/>
      <c r="N245" s="263"/>
    </row>
    <row r="246" spans="1:14" x14ac:dyDescent="0.25">
      <c r="A246" s="2"/>
      <c r="B246" s="127"/>
      <c r="D246" s="3"/>
      <c r="E246" s="44"/>
      <c r="F246" s="44"/>
      <c r="G246" s="2"/>
      <c r="N246" s="263"/>
    </row>
    <row r="247" spans="1:14" x14ac:dyDescent="0.25">
      <c r="A247" s="2"/>
      <c r="B247" s="127"/>
      <c r="D247" s="3"/>
      <c r="E247" s="44"/>
      <c r="F247" s="44"/>
      <c r="G247" s="2"/>
      <c r="N247" s="263"/>
    </row>
    <row r="248" spans="1:14" x14ac:dyDescent="0.25">
      <c r="A248" s="2"/>
      <c r="B248" s="127"/>
      <c r="D248" s="3"/>
      <c r="E248" s="44"/>
      <c r="F248" s="44"/>
      <c r="G248" s="2"/>
      <c r="N248" s="263"/>
    </row>
    <row r="249" spans="1:14" x14ac:dyDescent="0.25">
      <c r="A249" s="2"/>
      <c r="B249" s="127"/>
      <c r="D249" s="3"/>
      <c r="E249" s="44"/>
      <c r="F249" s="44"/>
      <c r="G249" s="2"/>
      <c r="N249" s="263"/>
    </row>
    <row r="250" spans="1:14" x14ac:dyDescent="0.25">
      <c r="A250" s="2"/>
      <c r="B250" s="127"/>
      <c r="D250" s="3"/>
      <c r="E250" s="44"/>
      <c r="F250" s="44"/>
      <c r="G250" s="2"/>
      <c r="N250" s="263"/>
    </row>
    <row r="251" spans="1:14" x14ac:dyDescent="0.25">
      <c r="A251" s="2"/>
      <c r="B251" s="127"/>
      <c r="D251" s="3"/>
      <c r="E251" s="44"/>
      <c r="F251" s="44"/>
      <c r="G251" s="2"/>
      <c r="N251" s="263"/>
    </row>
    <row r="252" spans="1:14" x14ac:dyDescent="0.25">
      <c r="A252" s="2"/>
      <c r="B252" s="127"/>
      <c r="D252" s="3"/>
      <c r="E252" s="44"/>
      <c r="F252" s="44"/>
      <c r="G252" s="2"/>
      <c r="N252" s="263"/>
    </row>
    <row r="253" spans="1:14" x14ac:dyDescent="0.25">
      <c r="A253" s="2"/>
      <c r="B253" s="127"/>
      <c r="D253" s="3"/>
      <c r="E253" s="44"/>
      <c r="F253" s="44"/>
      <c r="G253" s="2"/>
      <c r="N253" s="263"/>
    </row>
    <row r="254" spans="1:14" x14ac:dyDescent="0.25">
      <c r="A254" s="2"/>
      <c r="B254" s="127"/>
      <c r="D254" s="3"/>
      <c r="E254" s="44"/>
      <c r="F254" s="44"/>
      <c r="G254" s="2"/>
      <c r="N254" s="263"/>
    </row>
    <row r="255" spans="1:14" x14ac:dyDescent="0.25">
      <c r="A255" s="2"/>
      <c r="B255" s="127"/>
      <c r="D255" s="3"/>
      <c r="E255" s="44"/>
      <c r="F255" s="44"/>
      <c r="G255" s="2"/>
      <c r="N255" s="263"/>
    </row>
    <row r="256" spans="1:14" x14ac:dyDescent="0.25">
      <c r="A256" s="2"/>
      <c r="B256" s="127"/>
      <c r="D256" s="3"/>
      <c r="E256" s="44"/>
      <c r="F256" s="44"/>
      <c r="G256" s="2"/>
    </row>
    <row r="257" spans="1:7" x14ac:dyDescent="0.25">
      <c r="A257" s="2"/>
      <c r="B257" s="127"/>
      <c r="D257" s="3"/>
      <c r="E257" s="44"/>
      <c r="F257" s="44"/>
      <c r="G257" s="2"/>
    </row>
    <row r="258" spans="1:7" x14ac:dyDescent="0.25">
      <c r="A258" s="2"/>
      <c r="B258" s="127"/>
      <c r="D258" s="3"/>
      <c r="E258" s="44"/>
      <c r="F258" s="44"/>
      <c r="G258" s="2"/>
    </row>
    <row r="259" spans="1:7" x14ac:dyDescent="0.25">
      <c r="A259" s="2"/>
      <c r="B259" s="127"/>
      <c r="D259" s="3"/>
      <c r="E259" s="44"/>
      <c r="F259" s="44"/>
      <c r="G259" s="2"/>
    </row>
    <row r="260" spans="1:7" x14ac:dyDescent="0.25">
      <c r="A260" s="2"/>
      <c r="B260" s="127"/>
      <c r="D260" s="3"/>
      <c r="E260" s="44"/>
      <c r="F260" s="44"/>
      <c r="G260" s="2"/>
    </row>
    <row r="261" spans="1:7" x14ac:dyDescent="0.25">
      <c r="A261" s="2"/>
      <c r="B261" s="127"/>
      <c r="D261" s="3"/>
      <c r="E261" s="44"/>
      <c r="F261" s="44"/>
      <c r="G261" s="2"/>
    </row>
    <row r="262" spans="1:7" x14ac:dyDescent="0.25">
      <c r="A262" s="2"/>
      <c r="B262" s="127"/>
      <c r="D262" s="3"/>
      <c r="E262" s="44"/>
      <c r="F262" s="44"/>
      <c r="G262" s="2"/>
    </row>
    <row r="263" spans="1:7" x14ac:dyDescent="0.25">
      <c r="A263" s="2"/>
      <c r="B263" s="127"/>
      <c r="D263" s="3"/>
      <c r="E263" s="44"/>
      <c r="F263" s="44"/>
      <c r="G263" s="2"/>
    </row>
    <row r="264" spans="1:7" x14ac:dyDescent="0.25">
      <c r="A264" s="2"/>
      <c r="B264" s="127"/>
      <c r="D264" s="3"/>
      <c r="E264" s="44"/>
      <c r="F264" s="44"/>
      <c r="G264" s="2"/>
    </row>
    <row r="265" spans="1:7" x14ac:dyDescent="0.25">
      <c r="A265" s="2"/>
      <c r="B265" s="127"/>
      <c r="D265" s="3"/>
      <c r="E265" s="44"/>
      <c r="F265" s="44"/>
      <c r="G265" s="2"/>
    </row>
    <row r="266" spans="1:7" x14ac:dyDescent="0.25">
      <c r="A266" s="2"/>
      <c r="B266" s="127"/>
      <c r="D266" s="3"/>
      <c r="E266" s="44"/>
      <c r="F266" s="44"/>
      <c r="G266" s="2"/>
    </row>
    <row r="267" spans="1:7" x14ac:dyDescent="0.25">
      <c r="A267" s="2"/>
      <c r="B267" s="127"/>
      <c r="D267" s="3"/>
      <c r="E267" s="44"/>
      <c r="F267" s="44"/>
      <c r="G267" s="2"/>
    </row>
    <row r="268" spans="1:7" x14ac:dyDescent="0.25">
      <c r="A268" s="2"/>
      <c r="B268" s="127"/>
      <c r="D268" s="3"/>
      <c r="E268" s="44"/>
      <c r="F268" s="44"/>
      <c r="G268" s="2"/>
    </row>
    <row r="269" spans="1:7" x14ac:dyDescent="0.25">
      <c r="A269" s="2"/>
      <c r="B269" s="127"/>
      <c r="D269" s="3"/>
      <c r="E269" s="44"/>
      <c r="F269" s="44"/>
      <c r="G269" s="2"/>
    </row>
    <row r="270" spans="1:7" x14ac:dyDescent="0.25">
      <c r="A270" s="2"/>
      <c r="B270" s="127"/>
      <c r="D270" s="3"/>
      <c r="E270" s="44"/>
      <c r="F270" s="44"/>
      <c r="G270" s="2"/>
    </row>
    <row r="271" spans="1:7" x14ac:dyDescent="0.25">
      <c r="A271" s="2"/>
      <c r="B271" s="127"/>
      <c r="D271" s="3"/>
      <c r="E271" s="44"/>
      <c r="F271" s="44"/>
      <c r="G271" s="2"/>
    </row>
    <row r="272" spans="1:7" x14ac:dyDescent="0.25">
      <c r="A272" s="2"/>
      <c r="B272" s="127"/>
      <c r="D272" s="3"/>
      <c r="E272" s="44"/>
      <c r="F272" s="44"/>
      <c r="G272" s="2"/>
    </row>
    <row r="273" spans="1:7" x14ac:dyDescent="0.25">
      <c r="A273" s="1"/>
      <c r="B273" s="127"/>
      <c r="D273" s="3"/>
      <c r="E273" s="44"/>
      <c r="F273" s="44"/>
      <c r="G273" s="2"/>
    </row>
    <row r="274" spans="1:7" x14ac:dyDescent="0.25">
      <c r="A274" s="1"/>
      <c r="B274" s="127"/>
      <c r="D274" s="3"/>
      <c r="E274" s="44"/>
      <c r="F274" s="44"/>
      <c r="G274" s="2"/>
    </row>
    <row r="275" spans="1:7" x14ac:dyDescent="0.25">
      <c r="A275" s="1"/>
      <c r="B275" s="127"/>
      <c r="D275" s="3"/>
      <c r="E275" s="44"/>
      <c r="F275" s="44"/>
      <c r="G275" s="2"/>
    </row>
    <row r="276" spans="1:7" x14ac:dyDescent="0.25">
      <c r="A276" s="1"/>
      <c r="B276" s="127"/>
      <c r="D276" s="3"/>
      <c r="E276" s="44"/>
      <c r="F276" s="44"/>
      <c r="G276" s="2"/>
    </row>
    <row r="277" spans="1:7" x14ac:dyDescent="0.25">
      <c r="A277" s="1"/>
      <c r="B277" s="127"/>
      <c r="D277" s="3"/>
      <c r="E277" s="44"/>
      <c r="F277" s="44"/>
      <c r="G277" s="2"/>
    </row>
    <row r="278" spans="1:7" x14ac:dyDescent="0.25">
      <c r="A278" s="1"/>
      <c r="B278" s="127"/>
      <c r="D278" s="3"/>
      <c r="E278" s="44"/>
      <c r="F278" s="44"/>
      <c r="G278" s="2"/>
    </row>
    <row r="279" spans="1:7" x14ac:dyDescent="0.25">
      <c r="A279" s="1"/>
      <c r="B279" s="127"/>
      <c r="D279" s="3"/>
      <c r="E279" s="44"/>
      <c r="F279" s="44"/>
      <c r="G279" s="2"/>
    </row>
    <row r="280" spans="1:7" x14ac:dyDescent="0.25">
      <c r="A280" s="1"/>
      <c r="B280" s="127"/>
      <c r="D280" s="3"/>
      <c r="E280" s="44"/>
      <c r="F280" s="44"/>
      <c r="G280" s="2"/>
    </row>
    <row r="281" spans="1:7" x14ac:dyDescent="0.25">
      <c r="A281" s="1"/>
      <c r="B281" s="127"/>
      <c r="D281" s="3"/>
      <c r="E281" s="44"/>
      <c r="F281" s="44"/>
      <c r="G281" s="2"/>
    </row>
    <row r="282" spans="1:7" x14ac:dyDescent="0.25">
      <c r="A282" s="1"/>
      <c r="B282" s="127"/>
      <c r="D282" s="3"/>
      <c r="E282" s="44"/>
      <c r="F282" s="44"/>
      <c r="G282" s="2"/>
    </row>
    <row r="283" spans="1:7" x14ac:dyDescent="0.25">
      <c r="A283" s="1"/>
      <c r="B283" s="127"/>
      <c r="D283" s="3"/>
      <c r="E283" s="44"/>
      <c r="F283" s="44"/>
      <c r="G283" s="2"/>
    </row>
    <row r="284" spans="1:7" x14ac:dyDescent="0.25">
      <c r="A284" s="1"/>
      <c r="B284" s="127"/>
      <c r="D284" s="3"/>
      <c r="E284" s="44"/>
      <c r="F284" s="44"/>
      <c r="G284" s="2"/>
    </row>
    <row r="285" spans="1:7" x14ac:dyDescent="0.25">
      <c r="A285" s="1"/>
      <c r="B285" s="127"/>
      <c r="D285" s="3"/>
      <c r="E285" s="44"/>
      <c r="F285" s="44"/>
      <c r="G285" s="2"/>
    </row>
    <row r="286" spans="1:7" x14ac:dyDescent="0.25">
      <c r="A286" s="1"/>
      <c r="B286" s="127"/>
      <c r="D286" s="3"/>
      <c r="E286" s="44"/>
      <c r="F286" s="44"/>
      <c r="G286" s="2"/>
    </row>
    <row r="287" spans="1:7" x14ac:dyDescent="0.25">
      <c r="A287" s="1"/>
      <c r="B287" s="127"/>
      <c r="D287" s="3"/>
      <c r="E287" s="44"/>
      <c r="F287" s="44"/>
      <c r="G287" s="2"/>
    </row>
    <row r="288" spans="1:7" x14ac:dyDescent="0.25">
      <c r="A288" s="1"/>
      <c r="B288" s="127"/>
      <c r="D288" s="3"/>
      <c r="E288" s="44"/>
      <c r="F288" s="44"/>
      <c r="G288" s="2"/>
    </row>
    <row r="289" spans="1:7" x14ac:dyDescent="0.25">
      <c r="A289" s="1"/>
      <c r="B289" s="127"/>
      <c r="D289" s="3"/>
      <c r="E289" s="44"/>
      <c r="F289" s="44"/>
      <c r="G289" s="2"/>
    </row>
    <row r="290" spans="1:7" x14ac:dyDescent="0.25">
      <c r="A290" s="1"/>
      <c r="B290" s="127"/>
      <c r="D290" s="3"/>
      <c r="E290" s="44"/>
      <c r="F290" s="44"/>
      <c r="G290" s="2"/>
    </row>
    <row r="291" spans="1:7" x14ac:dyDescent="0.25">
      <c r="A291" s="1"/>
      <c r="B291" s="127"/>
      <c r="D291" s="3"/>
      <c r="E291" s="44"/>
      <c r="F291" s="44"/>
      <c r="G291" s="2"/>
    </row>
    <row r="292" spans="1:7" x14ac:dyDescent="0.25">
      <c r="A292" s="1"/>
      <c r="B292" s="127"/>
      <c r="D292" s="3"/>
      <c r="E292" s="44"/>
      <c r="F292" s="44"/>
      <c r="G292" s="2"/>
    </row>
    <row r="293" spans="1:7" x14ac:dyDescent="0.25">
      <c r="A293" s="1"/>
      <c r="B293" s="127"/>
      <c r="D293" s="3"/>
      <c r="E293" s="44"/>
      <c r="F293" s="44"/>
      <c r="G293" s="2"/>
    </row>
    <row r="294" spans="1:7" x14ac:dyDescent="0.25">
      <c r="A294" s="1"/>
      <c r="B294" s="127"/>
      <c r="D294" s="3"/>
      <c r="E294" s="44"/>
      <c r="F294" s="44"/>
      <c r="G294" s="2"/>
    </row>
    <row r="295" spans="1:7" x14ac:dyDescent="0.25">
      <c r="A295" s="1"/>
      <c r="B295" s="127"/>
      <c r="D295" s="3"/>
      <c r="E295" s="44"/>
      <c r="F295" s="44"/>
      <c r="G295" s="2"/>
    </row>
    <row r="296" spans="1:7" x14ac:dyDescent="0.25">
      <c r="A296" s="1"/>
      <c r="B296" s="127"/>
      <c r="D296" s="3"/>
      <c r="E296" s="44"/>
      <c r="F296" s="44"/>
      <c r="G296" s="2"/>
    </row>
    <row r="297" spans="1:7" x14ac:dyDescent="0.25">
      <c r="A297" s="1"/>
      <c r="B297" s="127"/>
      <c r="D297" s="3"/>
      <c r="E297" s="44"/>
      <c r="F297" s="44"/>
      <c r="G297" s="2"/>
    </row>
    <row r="298" spans="1:7" x14ac:dyDescent="0.25">
      <c r="A298" s="1"/>
      <c r="B298" s="127"/>
      <c r="D298" s="3"/>
      <c r="E298" s="44"/>
    </row>
    <row r="299" spans="1:7" x14ac:dyDescent="0.25">
      <c r="A299" s="1"/>
      <c r="B299" s="127"/>
      <c r="D299" s="3"/>
      <c r="E299" s="44"/>
    </row>
    <row r="300" spans="1:7" x14ac:dyDescent="0.25">
      <c r="A300" s="1"/>
      <c r="B300" s="127"/>
      <c r="D300" s="3"/>
      <c r="E300" s="44"/>
    </row>
    <row r="301" spans="1:7" x14ac:dyDescent="0.25">
      <c r="A301" s="1"/>
      <c r="B301" s="127"/>
      <c r="D301" s="3"/>
      <c r="E301" s="44"/>
    </row>
    <row r="302" spans="1:7" x14ac:dyDescent="0.25">
      <c r="A302" s="1"/>
      <c r="B302" s="127"/>
      <c r="D302" s="3"/>
      <c r="E302" s="44"/>
    </row>
    <row r="303" spans="1:7" x14ac:dyDescent="0.25">
      <c r="A303" s="1"/>
      <c r="B303" s="127"/>
      <c r="D303" s="3"/>
      <c r="E303" s="44"/>
    </row>
    <row r="304" spans="1:7" x14ac:dyDescent="0.25">
      <c r="A304" s="1"/>
      <c r="B304" s="127"/>
      <c r="D304" s="3"/>
      <c r="E304" s="44"/>
    </row>
    <row r="305" spans="1:5" x14ac:dyDescent="0.25">
      <c r="A305" s="1"/>
      <c r="B305" s="127"/>
      <c r="D305" s="3"/>
      <c r="E305" s="44"/>
    </row>
    <row r="306" spans="1:5" x14ac:dyDescent="0.25">
      <c r="A306" s="1"/>
      <c r="B306" s="127"/>
      <c r="D306" s="3"/>
      <c r="E306" s="44"/>
    </row>
    <row r="307" spans="1:5" x14ac:dyDescent="0.25">
      <c r="A307" s="1"/>
      <c r="B307" s="127"/>
      <c r="D307" s="3"/>
      <c r="E307" s="44"/>
    </row>
    <row r="308" spans="1:5" x14ac:dyDescent="0.25">
      <c r="A308" s="1"/>
      <c r="B308" s="127"/>
      <c r="D308" s="3"/>
      <c r="E308" s="44"/>
    </row>
    <row r="309" spans="1:5" x14ac:dyDescent="0.25">
      <c r="A309" s="1"/>
      <c r="B309" s="127"/>
      <c r="D309" s="3"/>
      <c r="E309" s="44"/>
    </row>
    <row r="310" spans="1:5" x14ac:dyDescent="0.25">
      <c r="A310" s="1"/>
      <c r="B310" s="127"/>
      <c r="D310" s="3"/>
      <c r="E310" s="44"/>
    </row>
    <row r="311" spans="1:5" x14ac:dyDescent="0.25">
      <c r="A311" s="1"/>
      <c r="B311" s="127"/>
      <c r="D311" s="3"/>
      <c r="E311" s="44"/>
    </row>
    <row r="312" spans="1:5" x14ac:dyDescent="0.25">
      <c r="A312" s="1"/>
      <c r="B312" s="127"/>
      <c r="D312" s="3"/>
      <c r="E312" s="44"/>
    </row>
    <row r="313" spans="1:5" x14ac:dyDescent="0.25">
      <c r="A313" s="1"/>
      <c r="B313" s="127"/>
      <c r="D313" s="3"/>
      <c r="E313" s="44"/>
    </row>
    <row r="314" spans="1:5" x14ac:dyDescent="0.25">
      <c r="A314" s="1"/>
      <c r="B314" s="127"/>
      <c r="D314" s="3"/>
      <c r="E314" s="44"/>
    </row>
    <row r="315" spans="1:5" x14ac:dyDescent="0.25">
      <c r="A315" s="1"/>
      <c r="B315" s="127"/>
      <c r="D315" s="3"/>
      <c r="E315" s="44"/>
    </row>
    <row r="316" spans="1:5" x14ac:dyDescent="0.25">
      <c r="A316" s="1"/>
      <c r="B316" s="127"/>
      <c r="D316" s="3"/>
      <c r="E316" s="44"/>
    </row>
    <row r="317" spans="1:5" x14ac:dyDescent="0.25">
      <c r="A317" s="1"/>
      <c r="B317" s="127"/>
      <c r="D317" s="3"/>
      <c r="E317" s="44"/>
    </row>
    <row r="318" spans="1:5" x14ac:dyDescent="0.25">
      <c r="A318" s="1"/>
      <c r="B318" s="127"/>
      <c r="D318" s="3"/>
      <c r="E318" s="44"/>
    </row>
    <row r="319" spans="1:5" x14ac:dyDescent="0.25">
      <c r="A319" s="1"/>
      <c r="B319" s="127"/>
      <c r="D319" s="3"/>
      <c r="E319" s="44"/>
    </row>
    <row r="320" spans="1:5" x14ac:dyDescent="0.25">
      <c r="A320" s="1"/>
      <c r="B320" s="127"/>
      <c r="D320" s="3"/>
      <c r="E320" s="44"/>
    </row>
    <row r="321" spans="1:5" x14ac:dyDescent="0.25">
      <c r="A321" s="1"/>
      <c r="B321" s="127"/>
      <c r="D321" s="3"/>
      <c r="E321" s="44"/>
    </row>
    <row r="322" spans="1:5" x14ac:dyDescent="0.25">
      <c r="A322" s="1"/>
      <c r="B322" s="127"/>
      <c r="D322" s="3"/>
      <c r="E322" s="44"/>
    </row>
    <row r="323" spans="1:5" x14ac:dyDescent="0.25">
      <c r="A323" s="1"/>
      <c r="B323" s="127"/>
      <c r="D323" s="3"/>
      <c r="E323" s="44"/>
    </row>
    <row r="324" spans="1:5" x14ac:dyDescent="0.25">
      <c r="A324" s="1"/>
      <c r="B324" s="127"/>
      <c r="D324" s="3"/>
      <c r="E324" s="44"/>
    </row>
    <row r="325" spans="1:5" x14ac:dyDescent="0.25">
      <c r="A325" s="1"/>
      <c r="B325" s="127"/>
      <c r="D325" s="3"/>
      <c r="E325" s="44"/>
    </row>
    <row r="326" spans="1:5" x14ac:dyDescent="0.25">
      <c r="A326" s="1"/>
      <c r="B326" s="127"/>
      <c r="D326" s="3"/>
      <c r="E326" s="44"/>
    </row>
    <row r="327" spans="1:5" x14ac:dyDescent="0.25">
      <c r="A327" s="1"/>
      <c r="B327" s="127"/>
      <c r="D327" s="3"/>
      <c r="E327" s="44"/>
    </row>
    <row r="328" spans="1:5" x14ac:dyDescent="0.25">
      <c r="A328" s="1"/>
      <c r="B328" s="127"/>
      <c r="D328" s="3"/>
      <c r="E328" s="44"/>
    </row>
    <row r="329" spans="1:5" x14ac:dyDescent="0.25">
      <c r="A329" s="1"/>
      <c r="B329" s="127"/>
      <c r="D329" s="3"/>
      <c r="E329" s="44"/>
    </row>
    <row r="330" spans="1:5" x14ac:dyDescent="0.25">
      <c r="A330" s="1"/>
      <c r="B330" s="127"/>
      <c r="D330" s="3"/>
      <c r="E330" s="44"/>
    </row>
    <row r="331" spans="1:5" x14ac:dyDescent="0.25">
      <c r="A331" s="1"/>
      <c r="B331" s="127"/>
      <c r="D331" s="3"/>
      <c r="E331" s="44"/>
    </row>
    <row r="332" spans="1:5" x14ac:dyDescent="0.25">
      <c r="A332" s="1"/>
      <c r="B332" s="127"/>
      <c r="D332" s="3"/>
      <c r="E332" s="44"/>
    </row>
    <row r="333" spans="1:5" x14ac:dyDescent="0.25">
      <c r="A333" s="1"/>
      <c r="B333" s="127"/>
      <c r="D333" s="3"/>
      <c r="E333" s="44"/>
    </row>
    <row r="334" spans="1:5" x14ac:dyDescent="0.25">
      <c r="A334" s="1"/>
      <c r="B334" s="127"/>
      <c r="D334" s="3"/>
      <c r="E334" s="44"/>
    </row>
    <row r="335" spans="1:5" x14ac:dyDescent="0.25">
      <c r="A335" s="1"/>
      <c r="B335" s="127"/>
      <c r="D335" s="3"/>
      <c r="E335" s="44"/>
    </row>
    <row r="336" spans="1:5" x14ac:dyDescent="0.25">
      <c r="A336" s="1"/>
      <c r="B336" s="127"/>
      <c r="D336" s="3"/>
      <c r="E336" s="44"/>
    </row>
    <row r="337" spans="1:5" x14ac:dyDescent="0.25">
      <c r="A337" s="1"/>
      <c r="B337" s="127"/>
      <c r="D337" s="3"/>
      <c r="E337" s="44"/>
    </row>
    <row r="338" spans="1:5" x14ac:dyDescent="0.25">
      <c r="A338" s="1"/>
      <c r="B338" s="127"/>
      <c r="D338" s="3"/>
      <c r="E338" s="44"/>
    </row>
    <row r="339" spans="1:5" x14ac:dyDescent="0.25">
      <c r="A339" s="1"/>
      <c r="B339" s="127"/>
      <c r="D339" s="3"/>
      <c r="E339" s="44"/>
    </row>
    <row r="340" spans="1:5" x14ac:dyDescent="0.25">
      <c r="A340" s="1"/>
      <c r="B340" s="127"/>
      <c r="D340" s="3"/>
      <c r="E340" s="44"/>
    </row>
    <row r="341" spans="1:5" x14ac:dyDescent="0.25">
      <c r="A341" s="1"/>
      <c r="B341" s="127"/>
      <c r="D341" s="3"/>
      <c r="E341" s="44"/>
    </row>
    <row r="342" spans="1:5" x14ac:dyDescent="0.25">
      <c r="A342" s="1"/>
      <c r="B342" s="127"/>
      <c r="D342" s="3"/>
      <c r="E342" s="44"/>
    </row>
    <row r="343" spans="1:5" x14ac:dyDescent="0.25">
      <c r="A343" s="1"/>
      <c r="B343" s="127"/>
      <c r="D343" s="3"/>
      <c r="E343" s="44"/>
    </row>
    <row r="344" spans="1:5" x14ac:dyDescent="0.25">
      <c r="A344" s="1"/>
      <c r="B344" s="127"/>
      <c r="D344" s="3"/>
      <c r="E344" s="44"/>
    </row>
    <row r="345" spans="1:5" x14ac:dyDescent="0.25">
      <c r="A345" s="1"/>
      <c r="B345" s="127"/>
      <c r="D345" s="3"/>
      <c r="E345" s="44"/>
    </row>
    <row r="346" spans="1:5" x14ac:dyDescent="0.25">
      <c r="A346" s="1"/>
      <c r="B346" s="127"/>
      <c r="D346" s="3"/>
      <c r="E346" s="44"/>
    </row>
    <row r="347" spans="1:5" x14ac:dyDescent="0.25">
      <c r="A347" s="1"/>
      <c r="B347" s="127"/>
      <c r="D347" s="3"/>
      <c r="E347" s="44"/>
    </row>
    <row r="348" spans="1:5" x14ac:dyDescent="0.25">
      <c r="A348" s="1"/>
      <c r="B348" s="127"/>
      <c r="D348" s="3"/>
      <c r="E348" s="44"/>
    </row>
    <row r="349" spans="1:5" x14ac:dyDescent="0.25">
      <c r="A349" s="1"/>
      <c r="B349" s="127"/>
      <c r="D349" s="3"/>
      <c r="E349" s="44"/>
    </row>
    <row r="350" spans="1:5" x14ac:dyDescent="0.25">
      <c r="A350" s="1"/>
      <c r="B350" s="127"/>
      <c r="D350" s="3"/>
      <c r="E350" s="44"/>
    </row>
    <row r="351" spans="1:5" x14ac:dyDescent="0.25">
      <c r="A351" s="1"/>
      <c r="B351" s="127"/>
      <c r="D351" s="3"/>
      <c r="E351" s="44"/>
    </row>
    <row r="352" spans="1:5" x14ac:dyDescent="0.25">
      <c r="A352" s="1"/>
      <c r="B352" s="127"/>
      <c r="D352" s="3"/>
      <c r="E352" s="44"/>
    </row>
    <row r="353" spans="1:5" x14ac:dyDescent="0.25">
      <c r="A353" s="1"/>
      <c r="B353" s="127"/>
      <c r="D353" s="3"/>
      <c r="E353" s="44"/>
    </row>
    <row r="354" spans="1:5" x14ac:dyDescent="0.25">
      <c r="A354" s="1"/>
      <c r="B354" s="127"/>
      <c r="D354" s="3"/>
      <c r="E354" s="44"/>
    </row>
    <row r="355" spans="1:5" x14ac:dyDescent="0.25">
      <c r="A355" s="1"/>
      <c r="B355" s="127"/>
      <c r="D355" s="3"/>
      <c r="E355" s="44"/>
    </row>
    <row r="356" spans="1:5" x14ac:dyDescent="0.25">
      <c r="A356" s="1"/>
      <c r="B356" s="127"/>
      <c r="D356" s="3"/>
      <c r="E356" s="44"/>
    </row>
    <row r="357" spans="1:5" x14ac:dyDescent="0.25">
      <c r="A357" s="1"/>
      <c r="B357" s="127"/>
      <c r="D357" s="3"/>
      <c r="E357" s="44"/>
    </row>
    <row r="358" spans="1:5" x14ac:dyDescent="0.25">
      <c r="A358" s="1"/>
      <c r="B358" s="127"/>
      <c r="D358" s="3"/>
      <c r="E358" s="44"/>
    </row>
    <row r="359" spans="1:5" x14ac:dyDescent="0.25">
      <c r="A359" s="1"/>
      <c r="B359" s="127"/>
      <c r="D359" s="3"/>
      <c r="E359" s="44"/>
    </row>
    <row r="360" spans="1:5" x14ac:dyDescent="0.25">
      <c r="A360" s="1"/>
      <c r="B360" s="127"/>
      <c r="D360" s="3"/>
      <c r="E360" s="44"/>
    </row>
    <row r="361" spans="1:5" x14ac:dyDescent="0.25">
      <c r="A361" s="1"/>
      <c r="B361" s="127"/>
      <c r="D361" s="3"/>
      <c r="E361" s="44"/>
    </row>
    <row r="362" spans="1:5" x14ac:dyDescent="0.25">
      <c r="A362" s="1"/>
      <c r="B362" s="127"/>
      <c r="D362" s="3"/>
      <c r="E362" s="44"/>
    </row>
    <row r="363" spans="1:5" x14ac:dyDescent="0.25">
      <c r="A363" s="1"/>
      <c r="B363" s="127"/>
      <c r="D363" s="3"/>
      <c r="E363" s="44"/>
    </row>
    <row r="364" spans="1:5" x14ac:dyDescent="0.25">
      <c r="A364" s="1"/>
      <c r="B364" s="127"/>
      <c r="D364" s="3"/>
      <c r="E364" s="44"/>
    </row>
    <row r="365" spans="1:5" x14ac:dyDescent="0.25">
      <c r="A365" s="1"/>
      <c r="B365" s="127"/>
      <c r="D365" s="3"/>
      <c r="E365" s="44"/>
    </row>
    <row r="366" spans="1:5" x14ac:dyDescent="0.25">
      <c r="A366" s="1"/>
      <c r="B366" s="127"/>
      <c r="D366" s="3"/>
      <c r="E366" s="44"/>
    </row>
    <row r="367" spans="1:5" x14ac:dyDescent="0.25">
      <c r="A367" s="1"/>
      <c r="B367" s="127"/>
      <c r="D367" s="3"/>
      <c r="E367" s="44"/>
    </row>
    <row r="368" spans="1:5" x14ac:dyDescent="0.25">
      <c r="A368" s="1"/>
      <c r="B368" s="127"/>
      <c r="D368" s="3"/>
      <c r="E368" s="44"/>
    </row>
    <row r="369" spans="1:5" x14ac:dyDescent="0.25">
      <c r="A369" s="1"/>
      <c r="B369" s="127"/>
      <c r="D369" s="3"/>
      <c r="E369" s="44"/>
    </row>
    <row r="370" spans="1:5" x14ac:dyDescent="0.25">
      <c r="A370" s="1"/>
      <c r="B370" s="127"/>
      <c r="D370" s="3"/>
      <c r="E370" s="44"/>
    </row>
    <row r="371" spans="1:5" x14ac:dyDescent="0.25">
      <c r="A371" s="1"/>
      <c r="B371" s="127"/>
      <c r="D371" s="3"/>
      <c r="E371" s="44"/>
    </row>
    <row r="372" spans="1:5" x14ac:dyDescent="0.25">
      <c r="A372" s="1"/>
      <c r="B372" s="127"/>
      <c r="D372" s="3"/>
      <c r="E372" s="44"/>
    </row>
    <row r="373" spans="1:5" x14ac:dyDescent="0.25">
      <c r="A373" s="1"/>
      <c r="B373" s="127"/>
      <c r="D373" s="3"/>
      <c r="E373" s="44"/>
    </row>
    <row r="374" spans="1:5" x14ac:dyDescent="0.25">
      <c r="A374" s="1"/>
      <c r="B374" s="127"/>
      <c r="D374" s="3"/>
      <c r="E374" s="44"/>
    </row>
    <row r="375" spans="1:5" x14ac:dyDescent="0.25">
      <c r="A375" s="1"/>
      <c r="B375" s="127"/>
      <c r="D375" s="3"/>
      <c r="E375" s="44"/>
    </row>
    <row r="376" spans="1:5" x14ac:dyDescent="0.25">
      <c r="A376" s="1"/>
      <c r="B376" s="127"/>
      <c r="D376" s="3"/>
      <c r="E376" s="44"/>
    </row>
    <row r="377" spans="1:5" x14ac:dyDescent="0.25">
      <c r="A377" s="1"/>
      <c r="B377" s="127"/>
      <c r="D377" s="3"/>
      <c r="E377" s="44"/>
    </row>
    <row r="378" spans="1:5" x14ac:dyDescent="0.25">
      <c r="A378" s="1"/>
      <c r="B378" s="127"/>
      <c r="D378" s="3"/>
      <c r="E378" s="44"/>
    </row>
    <row r="379" spans="1:5" x14ac:dyDescent="0.25">
      <c r="A379" s="1"/>
      <c r="B379" s="127"/>
      <c r="D379" s="3"/>
      <c r="E379" s="44"/>
    </row>
    <row r="380" spans="1:5" x14ac:dyDescent="0.25">
      <c r="A380" s="1"/>
      <c r="B380" s="127"/>
      <c r="D380" s="3"/>
      <c r="E380" s="44"/>
    </row>
    <row r="381" spans="1:5" x14ac:dyDescent="0.25">
      <c r="A381" s="1"/>
      <c r="B381" s="127"/>
      <c r="D381" s="3"/>
    </row>
    <row r="382" spans="1:5" x14ac:dyDescent="0.25">
      <c r="A382" s="1"/>
      <c r="B382" s="127"/>
      <c r="D382" s="3"/>
    </row>
    <row r="383" spans="1:5" x14ac:dyDescent="0.25">
      <c r="A383" s="1"/>
      <c r="B383" s="127"/>
      <c r="D383" s="3"/>
    </row>
    <row r="384" spans="1:5" x14ac:dyDescent="0.25">
      <c r="A384" s="1"/>
      <c r="B384" s="127"/>
      <c r="D384" s="3"/>
    </row>
    <row r="385" spans="1:4" x14ac:dyDescent="0.25">
      <c r="A385" s="1"/>
      <c r="B385" s="127"/>
      <c r="D385" s="3"/>
    </row>
    <row r="386" spans="1:4" x14ac:dyDescent="0.25">
      <c r="A386" s="1"/>
      <c r="B386" s="127"/>
      <c r="D386" s="3"/>
    </row>
    <row r="387" spans="1:4" x14ac:dyDescent="0.25">
      <c r="A387" s="1"/>
      <c r="B387" s="127"/>
      <c r="D387" s="3"/>
    </row>
    <row r="388" spans="1:4" x14ac:dyDescent="0.25">
      <c r="A388" s="1"/>
      <c r="B388" s="127"/>
      <c r="D388" s="3"/>
    </row>
    <row r="389" spans="1:4" x14ac:dyDescent="0.25">
      <c r="A389" s="1"/>
      <c r="B389" s="127"/>
      <c r="D389" s="3"/>
    </row>
    <row r="390" spans="1:4" x14ac:dyDescent="0.25">
      <c r="A390" s="1"/>
      <c r="B390" s="127"/>
      <c r="D390" s="3"/>
    </row>
    <row r="391" spans="1:4" x14ac:dyDescent="0.25">
      <c r="A391" s="1"/>
      <c r="B391" s="127"/>
      <c r="D391" s="3"/>
    </row>
    <row r="392" spans="1:4" x14ac:dyDescent="0.25">
      <c r="A392" s="1"/>
      <c r="B392" s="127"/>
      <c r="D392" s="3"/>
    </row>
  </sheetData>
  <autoFilter ref="A19:Y146">
    <filterColumn colId="10">
      <customFilters and="1">
        <customFilter operator="lessThanOrEqual" val="100000"/>
      </customFilters>
    </filterColumn>
  </autoFilter>
  <mergeCells count="31">
    <mergeCell ref="Q17:Q18"/>
    <mergeCell ref="P17:P18"/>
    <mergeCell ref="P16:Q16"/>
    <mergeCell ref="E17:E18"/>
    <mergeCell ref="V17:V18"/>
    <mergeCell ref="K17:K18"/>
    <mergeCell ref="S17:S18"/>
    <mergeCell ref="R16:S16"/>
    <mergeCell ref="M1:O1"/>
    <mergeCell ref="M2:O2"/>
    <mergeCell ref="M3:O3"/>
    <mergeCell ref="M4:O4"/>
    <mergeCell ref="H17:H18"/>
    <mergeCell ref="D16:M16"/>
    <mergeCell ref="O16:O17"/>
    <mergeCell ref="D17:D18"/>
    <mergeCell ref="F17:G17"/>
    <mergeCell ref="I17:J17"/>
    <mergeCell ref="N16:N18"/>
    <mergeCell ref="L17:M17"/>
    <mergeCell ref="A5:O5"/>
    <mergeCell ref="A16:A18"/>
    <mergeCell ref="B16:B18"/>
    <mergeCell ref="C16:C18"/>
    <mergeCell ref="X16:X18"/>
    <mergeCell ref="R17:R18"/>
    <mergeCell ref="W17:W18"/>
    <mergeCell ref="T16:U16"/>
    <mergeCell ref="V16:W16"/>
    <mergeCell ref="T17:T18"/>
    <mergeCell ref="U17:U18"/>
  </mergeCells>
  <phoneticPr fontId="17" type="noConversion"/>
  <pageMargins left="0.39370078740157483" right="0.19685039370078741" top="0.39370078740157483" bottom="0.39370078740157483" header="0.51181102362204722" footer="0.51181102362204722"/>
  <pageSetup paperSize="9" scale="46" fitToHeight="1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70"/>
  <sheetViews>
    <sheetView topLeftCell="A10" zoomScaleNormal="85" workbookViewId="0">
      <pane xSplit="4" ySplit="13" topLeftCell="E405" activePane="bottomRight" state="frozen"/>
      <selection activeCell="K147" sqref="K147"/>
      <selection pane="topRight" activeCell="K147" sqref="K147"/>
      <selection pane="bottomLeft" activeCell="K147" sqref="K147"/>
      <selection pane="bottomRight" activeCell="D415" sqref="D415"/>
    </sheetView>
  </sheetViews>
  <sheetFormatPr defaultRowHeight="15" x14ac:dyDescent="0.25"/>
  <cols>
    <col min="1" max="1" width="8.5703125" style="3" customWidth="1"/>
    <col min="2" max="2" width="8.5703125" style="116" customWidth="1"/>
    <col min="3" max="3" width="8.5703125" style="117" customWidth="1"/>
    <col min="4" max="4" width="26.85546875" style="1" customWidth="1"/>
    <col min="5" max="5" width="12.7109375" style="2" customWidth="1"/>
    <col min="6" max="6" width="13.5703125" style="2" customWidth="1"/>
    <col min="7" max="7" width="11.85546875" style="1" customWidth="1"/>
    <col min="8" max="8" width="10.140625" style="2" customWidth="1"/>
    <col min="9" max="9" width="12.85546875" style="145" hidden="1" customWidth="1"/>
    <col min="10" max="10" width="13.85546875" style="1" hidden="1" customWidth="1"/>
    <col min="11" max="11" width="14.140625" style="1" customWidth="1"/>
    <col min="12" max="12" width="18.85546875" style="1" customWidth="1"/>
    <col min="13" max="13" width="14.42578125" style="1" customWidth="1"/>
    <col min="14" max="14" width="11.5703125" style="1" customWidth="1"/>
    <col min="15" max="15" width="12" style="1" customWidth="1"/>
    <col min="16" max="16" width="10.28515625" style="1" customWidth="1"/>
    <col min="17" max="17" width="11.140625" style="1" customWidth="1"/>
    <col min="18" max="18" width="10.28515625" style="1" customWidth="1"/>
    <col min="19" max="19" width="11.5703125" style="1" customWidth="1"/>
    <col min="20" max="20" width="10.28515625" style="1" customWidth="1"/>
    <col min="21" max="21" width="11.7109375" style="1" customWidth="1"/>
    <col min="22" max="22" width="10.28515625" style="1" customWidth="1"/>
    <col min="23" max="23" width="13" style="1" customWidth="1"/>
    <col min="24" max="24" width="43.5703125" style="1" hidden="1" customWidth="1"/>
    <col min="25" max="25" width="13.42578125" style="1" customWidth="1"/>
    <col min="26" max="26" width="14.7109375" style="1" customWidth="1"/>
    <col min="27" max="16384" width="9.140625" style="1"/>
  </cols>
  <sheetData>
    <row r="1" spans="1:24" x14ac:dyDescent="0.25">
      <c r="J1" s="375" t="s">
        <v>367</v>
      </c>
      <c r="K1" s="375"/>
      <c r="L1" s="375"/>
    </row>
    <row r="2" spans="1:24" x14ac:dyDescent="0.25">
      <c r="J2" s="375" t="s">
        <v>364</v>
      </c>
      <c r="K2" s="375"/>
      <c r="L2" s="375"/>
    </row>
    <row r="3" spans="1:24" x14ac:dyDescent="0.25">
      <c r="J3" s="375" t="s">
        <v>365</v>
      </c>
      <c r="K3" s="375"/>
      <c r="L3" s="375"/>
    </row>
    <row r="4" spans="1:24" x14ac:dyDescent="0.25">
      <c r="J4" s="375" t="s">
        <v>366</v>
      </c>
      <c r="K4" s="375"/>
      <c r="L4" s="375"/>
    </row>
    <row r="5" spans="1:24" x14ac:dyDescent="0.25">
      <c r="J5" s="86"/>
      <c r="K5" s="86"/>
      <c r="L5" s="86"/>
    </row>
    <row r="6" spans="1:24" ht="16.5" x14ac:dyDescent="0.25">
      <c r="A6" s="373" t="s">
        <v>368</v>
      </c>
      <c r="B6" s="373"/>
      <c r="C6" s="373"/>
      <c r="D6" s="373"/>
      <c r="E6" s="109"/>
      <c r="F6" s="109"/>
      <c r="G6" s="91"/>
      <c r="H6" s="109"/>
      <c r="I6" s="146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</row>
    <row r="7" spans="1:24" ht="16.5" x14ac:dyDescent="0.25">
      <c r="A7" s="373" t="s">
        <v>369</v>
      </c>
      <c r="B7" s="373"/>
      <c r="C7" s="373"/>
      <c r="D7" s="373"/>
      <c r="E7" s="109"/>
      <c r="F7" s="109"/>
      <c r="G7" s="91"/>
      <c r="H7" s="109"/>
      <c r="I7" s="146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</row>
    <row r="8" spans="1:24" ht="15.75" x14ac:dyDescent="0.25">
      <c r="A8" s="87"/>
      <c r="B8" s="118"/>
      <c r="C8" s="119"/>
      <c r="D8" s="87"/>
      <c r="E8" s="111"/>
      <c r="F8" s="111"/>
      <c r="G8" s="87"/>
      <c r="H8" s="111"/>
      <c r="I8" s="14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</row>
    <row r="9" spans="1:24" ht="12.75" x14ac:dyDescent="0.2">
      <c r="A9" s="89"/>
      <c r="B9" s="120"/>
      <c r="C9" s="121"/>
      <c r="D9" s="89"/>
      <c r="E9" s="112"/>
      <c r="F9" s="112"/>
      <c r="G9" s="89"/>
      <c r="H9" s="112"/>
      <c r="I9" s="148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</row>
    <row r="10" spans="1:24" ht="15.75" x14ac:dyDescent="0.25">
      <c r="A10" s="94" t="s">
        <v>373</v>
      </c>
      <c r="B10" s="122"/>
      <c r="C10" s="123"/>
      <c r="D10" s="94" t="s">
        <v>483</v>
      </c>
      <c r="E10" s="113"/>
      <c r="F10" s="113"/>
      <c r="G10" s="94"/>
      <c r="H10" s="113"/>
      <c r="I10" s="149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</row>
    <row r="11" spans="1:24" ht="15.75" x14ac:dyDescent="0.25">
      <c r="A11" s="94" t="s">
        <v>374</v>
      </c>
      <c r="B11" s="122"/>
      <c r="C11" s="123"/>
      <c r="D11" s="94" t="s">
        <v>484</v>
      </c>
      <c r="E11" s="113"/>
      <c r="F11" s="113"/>
      <c r="G11" s="94"/>
      <c r="H11" s="113"/>
      <c r="I11" s="149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</row>
    <row r="12" spans="1:24" ht="15.75" x14ac:dyDescent="0.25">
      <c r="A12" s="94" t="s">
        <v>375</v>
      </c>
      <c r="B12" s="122"/>
      <c r="C12" s="123"/>
      <c r="D12" s="94" t="s">
        <v>485</v>
      </c>
      <c r="E12" s="113"/>
      <c r="F12" s="113"/>
      <c r="G12" s="94"/>
      <c r="H12" s="113"/>
      <c r="I12" s="149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</row>
    <row r="13" spans="1:24" ht="15.75" x14ac:dyDescent="0.25">
      <c r="A13" s="94" t="s">
        <v>376</v>
      </c>
      <c r="B13" s="122"/>
      <c r="C13" s="123"/>
      <c r="D13" s="94" t="s">
        <v>486</v>
      </c>
      <c r="E13" s="113"/>
      <c r="F13" s="113"/>
      <c r="G13" s="94"/>
      <c r="H13" s="113"/>
      <c r="I13" s="149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</row>
    <row r="14" spans="1:24" ht="15.75" x14ac:dyDescent="0.25">
      <c r="A14" s="94" t="s">
        <v>377</v>
      </c>
      <c r="B14" s="122"/>
      <c r="C14" s="123"/>
      <c r="D14" s="236">
        <v>1435162270</v>
      </c>
      <c r="E14" s="113"/>
      <c r="F14" s="113"/>
      <c r="G14" s="94"/>
      <c r="H14" s="113"/>
      <c r="I14" s="149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</row>
    <row r="15" spans="1:24" ht="15.75" x14ac:dyDescent="0.25">
      <c r="A15" s="94" t="s">
        <v>378</v>
      </c>
      <c r="B15" s="122"/>
      <c r="C15" s="123"/>
      <c r="D15" s="236">
        <v>143501001</v>
      </c>
      <c r="E15" s="113"/>
      <c r="F15" s="113"/>
      <c r="G15" s="94"/>
      <c r="H15" s="113"/>
      <c r="I15" s="149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</row>
    <row r="16" spans="1:24" ht="15.75" x14ac:dyDescent="0.25">
      <c r="A16" s="94" t="s">
        <v>379</v>
      </c>
      <c r="B16" s="122"/>
      <c r="C16" s="123"/>
      <c r="D16" s="236">
        <v>98401</v>
      </c>
      <c r="E16" s="113"/>
      <c r="F16" s="113"/>
      <c r="G16" s="94"/>
      <c r="H16" s="113"/>
      <c r="I16" s="149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</row>
    <row r="17" spans="1:26" x14ac:dyDescent="0.25">
      <c r="J17" s="86"/>
      <c r="K17" s="86"/>
      <c r="L17" s="86"/>
    </row>
    <row r="18" spans="1:26" ht="15.75" x14ac:dyDescent="0.25">
      <c r="D18" s="253" t="s">
        <v>505</v>
      </c>
      <c r="J18" s="86"/>
      <c r="K18" s="86"/>
      <c r="L18" s="86"/>
    </row>
    <row r="19" spans="1:26" s="141" customFormat="1" ht="12.75" x14ac:dyDescent="0.2">
      <c r="A19" s="369" t="s">
        <v>380</v>
      </c>
      <c r="B19" s="369" t="s">
        <v>381</v>
      </c>
      <c r="C19" s="369" t="s">
        <v>382</v>
      </c>
      <c r="D19" s="372" t="s">
        <v>383</v>
      </c>
      <c r="E19" s="372"/>
      <c r="F19" s="372"/>
      <c r="G19" s="372"/>
      <c r="H19" s="372"/>
      <c r="I19" s="372"/>
      <c r="J19" s="372"/>
      <c r="K19" s="372"/>
      <c r="L19" s="372"/>
      <c r="M19" s="372"/>
      <c r="N19" s="372" t="s">
        <v>384</v>
      </c>
      <c r="O19" s="372" t="s">
        <v>385</v>
      </c>
      <c r="P19" s="370" t="s">
        <v>7</v>
      </c>
      <c r="Q19" s="370"/>
      <c r="R19" s="370" t="s">
        <v>8</v>
      </c>
      <c r="S19" s="370"/>
      <c r="T19" s="370" t="s">
        <v>9</v>
      </c>
      <c r="U19" s="370"/>
      <c r="V19" s="370" t="s">
        <v>10</v>
      </c>
      <c r="W19" s="370"/>
      <c r="X19" s="366" t="s">
        <v>11</v>
      </c>
    </row>
    <row r="20" spans="1:26" s="141" customFormat="1" ht="12.75" x14ac:dyDescent="0.2">
      <c r="A20" s="374"/>
      <c r="B20" s="369"/>
      <c r="C20" s="369"/>
      <c r="D20" s="372" t="s">
        <v>386</v>
      </c>
      <c r="E20" s="372" t="s">
        <v>387</v>
      </c>
      <c r="F20" s="372" t="s">
        <v>12</v>
      </c>
      <c r="G20" s="372"/>
      <c r="H20" s="372" t="s">
        <v>388</v>
      </c>
      <c r="I20" s="372" t="s">
        <v>389</v>
      </c>
      <c r="J20" s="372"/>
      <c r="K20" s="372" t="s">
        <v>495</v>
      </c>
      <c r="L20" s="372" t="s">
        <v>391</v>
      </c>
      <c r="M20" s="372"/>
      <c r="N20" s="372"/>
      <c r="O20" s="372"/>
      <c r="P20" s="369" t="s">
        <v>13</v>
      </c>
      <c r="Q20" s="369" t="s">
        <v>14</v>
      </c>
      <c r="R20" s="369" t="s">
        <v>13</v>
      </c>
      <c r="S20" s="369" t="s">
        <v>15</v>
      </c>
      <c r="T20" s="369" t="s">
        <v>13</v>
      </c>
      <c r="U20" s="369" t="s">
        <v>15</v>
      </c>
      <c r="V20" s="369" t="s">
        <v>13</v>
      </c>
      <c r="W20" s="369" t="s">
        <v>15</v>
      </c>
      <c r="X20" s="367"/>
    </row>
    <row r="21" spans="1:26" s="141" customFormat="1" ht="60" x14ac:dyDescent="0.2">
      <c r="A21" s="374"/>
      <c r="B21" s="369"/>
      <c r="C21" s="369"/>
      <c r="D21" s="372"/>
      <c r="E21" s="372"/>
      <c r="F21" s="101" t="s">
        <v>392</v>
      </c>
      <c r="G21" s="101" t="s">
        <v>393</v>
      </c>
      <c r="H21" s="372"/>
      <c r="I21" s="142" t="s">
        <v>394</v>
      </c>
      <c r="J21" s="101" t="s">
        <v>393</v>
      </c>
      <c r="K21" s="372"/>
      <c r="L21" s="101" t="s">
        <v>395</v>
      </c>
      <c r="M21" s="101" t="s">
        <v>396</v>
      </c>
      <c r="N21" s="372"/>
      <c r="O21" s="101" t="s">
        <v>397</v>
      </c>
      <c r="P21" s="369"/>
      <c r="Q21" s="369"/>
      <c r="R21" s="369"/>
      <c r="S21" s="369"/>
      <c r="T21" s="369"/>
      <c r="U21" s="369"/>
      <c r="V21" s="369"/>
      <c r="W21" s="369"/>
      <c r="X21" s="368"/>
    </row>
    <row r="22" spans="1:26" ht="12.75" x14ac:dyDescent="0.2">
      <c r="A22" s="235" t="s">
        <v>398</v>
      </c>
      <c r="B22" s="124" t="s">
        <v>399</v>
      </c>
      <c r="C22" s="124" t="s">
        <v>400</v>
      </c>
      <c r="D22" s="102">
        <v>4</v>
      </c>
      <c r="E22" s="102">
        <v>5</v>
      </c>
      <c r="F22" s="102">
        <v>6</v>
      </c>
      <c r="G22" s="102">
        <v>7</v>
      </c>
      <c r="H22" s="102">
        <v>8</v>
      </c>
      <c r="I22" s="143">
        <v>9</v>
      </c>
      <c r="J22" s="102">
        <v>10</v>
      </c>
      <c r="K22" s="102">
        <v>11</v>
      </c>
      <c r="L22" s="102">
        <v>12</v>
      </c>
      <c r="M22" s="102">
        <v>13</v>
      </c>
      <c r="N22" s="102">
        <v>14</v>
      </c>
      <c r="O22" s="102">
        <v>15</v>
      </c>
      <c r="P22" s="102">
        <v>16</v>
      </c>
      <c r="Q22" s="102">
        <v>17</v>
      </c>
      <c r="R22" s="102">
        <v>18</v>
      </c>
      <c r="S22" s="102">
        <v>19</v>
      </c>
      <c r="T22" s="102">
        <v>20</v>
      </c>
      <c r="U22" s="102">
        <v>21</v>
      </c>
      <c r="V22" s="102">
        <v>22</v>
      </c>
      <c r="W22" s="102">
        <v>23</v>
      </c>
      <c r="X22" s="102">
        <v>24</v>
      </c>
    </row>
    <row r="23" spans="1:26" s="230" customFormat="1" ht="36" x14ac:dyDescent="0.2">
      <c r="A23" s="232" t="s">
        <v>398</v>
      </c>
      <c r="B23" s="156"/>
      <c r="C23" s="157"/>
      <c r="D23" s="264" t="s">
        <v>451</v>
      </c>
      <c r="E23" s="159"/>
      <c r="F23" s="159"/>
      <c r="G23" s="160"/>
      <c r="H23" s="160"/>
      <c r="I23" s="161"/>
      <c r="J23" s="162"/>
      <c r="K23" s="162">
        <f>SUM(K24:K25)</f>
        <v>3566770</v>
      </c>
      <c r="L23" s="162"/>
      <c r="M23" s="162"/>
      <c r="N23" s="254"/>
      <c r="O23" s="162"/>
      <c r="P23" s="162">
        <f t="shared" ref="P23:W23" si="0">SUM(P24:P25)</f>
        <v>239</v>
      </c>
      <c r="Q23" s="162">
        <f t="shared" si="0"/>
        <v>3566770</v>
      </c>
      <c r="R23" s="162">
        <f t="shared" si="0"/>
        <v>0</v>
      </c>
      <c r="S23" s="162">
        <f t="shared" si="0"/>
        <v>0</v>
      </c>
      <c r="T23" s="162">
        <f t="shared" si="0"/>
        <v>0</v>
      </c>
      <c r="U23" s="162">
        <f t="shared" si="0"/>
        <v>0</v>
      </c>
      <c r="V23" s="162">
        <f t="shared" si="0"/>
        <v>0</v>
      </c>
      <c r="W23" s="162">
        <f t="shared" si="0"/>
        <v>0</v>
      </c>
      <c r="X23" s="163"/>
      <c r="Y23" s="231"/>
      <c r="Z23" s="237">
        <f>K23-Q23-S23-U23-W23</f>
        <v>0</v>
      </c>
    </row>
    <row r="24" spans="1:26" s="141" customFormat="1" ht="48.75" x14ac:dyDescent="0.25">
      <c r="A24" s="186" t="s">
        <v>453</v>
      </c>
      <c r="B24" s="165" t="s">
        <v>401</v>
      </c>
      <c r="C24" s="110">
        <v>6210010</v>
      </c>
      <c r="D24" s="265" t="s">
        <v>16</v>
      </c>
      <c r="E24" s="114"/>
      <c r="F24" s="11">
        <v>421</v>
      </c>
      <c r="G24" s="81" t="s">
        <v>458</v>
      </c>
      <c r="H24" s="24">
        <v>94</v>
      </c>
      <c r="I24" s="151">
        <v>98401</v>
      </c>
      <c r="J24" s="83" t="s">
        <v>429</v>
      </c>
      <c r="K24" s="83">
        <v>1206590</v>
      </c>
      <c r="L24" s="245" t="s">
        <v>7</v>
      </c>
      <c r="M24" s="245">
        <v>41244</v>
      </c>
      <c r="N24" s="255"/>
      <c r="O24" s="83"/>
      <c r="P24" s="83">
        <v>94</v>
      </c>
      <c r="Q24" s="83">
        <v>1206590</v>
      </c>
      <c r="R24" s="83"/>
      <c r="S24" s="83"/>
      <c r="T24" s="83"/>
      <c r="U24" s="83"/>
      <c r="V24" s="83"/>
      <c r="W24" s="83"/>
      <c r="X24" s="167"/>
      <c r="Z24" s="237">
        <f t="shared" ref="Z24:Z87" si="1">K24-Q24-S24-U24-W24</f>
        <v>0</v>
      </c>
    </row>
    <row r="25" spans="1:26" s="141" customFormat="1" ht="48.75" x14ac:dyDescent="0.25">
      <c r="A25" s="186" t="s">
        <v>452</v>
      </c>
      <c r="B25" s="165" t="s">
        <v>401</v>
      </c>
      <c r="C25" s="110">
        <v>6210010</v>
      </c>
      <c r="D25" s="265" t="s">
        <v>19</v>
      </c>
      <c r="E25" s="114"/>
      <c r="F25" s="11">
        <v>421</v>
      </c>
      <c r="G25" s="81" t="s">
        <v>458</v>
      </c>
      <c r="H25" s="81">
        <v>145</v>
      </c>
      <c r="I25" s="151">
        <v>98401</v>
      </c>
      <c r="J25" s="83" t="s">
        <v>429</v>
      </c>
      <c r="K25" s="83">
        <v>2360180</v>
      </c>
      <c r="L25" s="245" t="s">
        <v>7</v>
      </c>
      <c r="M25" s="245">
        <v>41244</v>
      </c>
      <c r="N25" s="255"/>
      <c r="O25" s="83"/>
      <c r="P25" s="83">
        <v>145</v>
      </c>
      <c r="Q25" s="83">
        <v>2360180</v>
      </c>
      <c r="R25" s="83"/>
      <c r="S25" s="83"/>
      <c r="T25" s="83"/>
      <c r="U25" s="83"/>
      <c r="V25" s="83"/>
      <c r="W25" s="83"/>
      <c r="X25" s="167"/>
      <c r="Z25" s="237">
        <f t="shared" si="1"/>
        <v>0</v>
      </c>
    </row>
    <row r="26" spans="1:26" s="230" customFormat="1" ht="24" x14ac:dyDescent="0.2">
      <c r="A26" s="232" t="s">
        <v>399</v>
      </c>
      <c r="B26" s="156"/>
      <c r="C26" s="157"/>
      <c r="D26" s="264" t="s">
        <v>20</v>
      </c>
      <c r="E26" s="159"/>
      <c r="F26" s="159"/>
      <c r="G26" s="160"/>
      <c r="H26" s="160"/>
      <c r="I26" s="161"/>
      <c r="J26" s="162"/>
      <c r="K26" s="162">
        <f>SUM(K27:K33)</f>
        <v>1855857</v>
      </c>
      <c r="L26" s="244"/>
      <c r="M26" s="244"/>
      <c r="N26" s="254"/>
      <c r="O26" s="162"/>
      <c r="P26" s="162">
        <f t="shared" ref="P26:W26" si="2">SUM(P27:P33)</f>
        <v>12</v>
      </c>
      <c r="Q26" s="162">
        <f t="shared" si="2"/>
        <v>753947</v>
      </c>
      <c r="R26" s="162">
        <f t="shared" si="2"/>
        <v>10</v>
      </c>
      <c r="S26" s="162">
        <f t="shared" si="2"/>
        <v>111469</v>
      </c>
      <c r="T26" s="162">
        <f t="shared" si="2"/>
        <v>9</v>
      </c>
      <c r="U26" s="162">
        <f t="shared" si="2"/>
        <v>140441</v>
      </c>
      <c r="V26" s="162">
        <f t="shared" si="2"/>
        <v>2</v>
      </c>
      <c r="W26" s="162">
        <f t="shared" si="2"/>
        <v>850000</v>
      </c>
      <c r="X26" s="163"/>
      <c r="Y26" s="231"/>
      <c r="Z26" s="237">
        <f t="shared" si="1"/>
        <v>0</v>
      </c>
    </row>
    <row r="27" spans="1:26" s="141" customFormat="1" ht="60.75" x14ac:dyDescent="0.25">
      <c r="A27" s="186">
        <v>3.1</v>
      </c>
      <c r="B27" s="165" t="s">
        <v>413</v>
      </c>
      <c r="C27" s="110">
        <v>7241000</v>
      </c>
      <c r="D27" s="265" t="s">
        <v>21</v>
      </c>
      <c r="E27" s="114"/>
      <c r="F27" s="11">
        <v>362</v>
      </c>
      <c r="G27" s="81" t="s">
        <v>22</v>
      </c>
      <c r="H27" s="81">
        <v>12</v>
      </c>
      <c r="I27" s="151">
        <v>98401</v>
      </c>
      <c r="J27" s="83" t="s">
        <v>429</v>
      </c>
      <c r="K27" s="83">
        <v>770616</v>
      </c>
      <c r="L27" s="245" t="s">
        <v>449</v>
      </c>
      <c r="M27" s="245">
        <v>41244</v>
      </c>
      <c r="N27" s="255"/>
      <c r="O27" s="83"/>
      <c r="P27" s="83">
        <v>12</v>
      </c>
      <c r="Q27" s="83">
        <v>753947</v>
      </c>
      <c r="R27" s="83">
        <v>9</v>
      </c>
      <c r="S27" s="83">
        <v>16669</v>
      </c>
      <c r="T27" s="83"/>
      <c r="U27" s="83"/>
      <c r="V27" s="83"/>
      <c r="W27" s="83"/>
      <c r="X27" s="167"/>
      <c r="Z27" s="237">
        <f t="shared" si="1"/>
        <v>0</v>
      </c>
    </row>
    <row r="28" spans="1:26" s="141" customFormat="1" x14ac:dyDescent="0.25">
      <c r="A28" s="186">
        <v>3.2</v>
      </c>
      <c r="B28" s="165" t="s">
        <v>402</v>
      </c>
      <c r="C28" s="110">
        <v>7412040</v>
      </c>
      <c r="D28" s="265" t="s">
        <v>23</v>
      </c>
      <c r="E28" s="114"/>
      <c r="F28" s="110">
        <v>796</v>
      </c>
      <c r="G28" s="81" t="s">
        <v>24</v>
      </c>
      <c r="H28" s="129">
        <v>1</v>
      </c>
      <c r="I28" s="151">
        <v>98401</v>
      </c>
      <c r="J28" s="83" t="s">
        <v>429</v>
      </c>
      <c r="K28" s="27">
        <v>550000</v>
      </c>
      <c r="L28" s="245" t="s">
        <v>10</v>
      </c>
      <c r="M28" s="245">
        <v>41245</v>
      </c>
      <c r="N28" s="256"/>
      <c r="O28" s="27"/>
      <c r="P28" s="24"/>
      <c r="Q28" s="24"/>
      <c r="R28" s="83"/>
      <c r="S28" s="27"/>
      <c r="T28" s="83"/>
      <c r="U28" s="83"/>
      <c r="V28" s="24">
        <v>1</v>
      </c>
      <c r="W28" s="27">
        <v>550000</v>
      </c>
      <c r="X28" s="27"/>
      <c r="Z28" s="237">
        <f t="shared" si="1"/>
        <v>0</v>
      </c>
    </row>
    <row r="29" spans="1:26" s="141" customFormat="1" ht="24.75" x14ac:dyDescent="0.25">
      <c r="A29" s="186">
        <v>3.3</v>
      </c>
      <c r="B29" s="165" t="s">
        <v>459</v>
      </c>
      <c r="C29" s="110">
        <v>7410000</v>
      </c>
      <c r="D29" s="265" t="s">
        <v>25</v>
      </c>
      <c r="E29" s="114"/>
      <c r="F29" s="110">
        <v>796</v>
      </c>
      <c r="G29" s="81" t="s">
        <v>24</v>
      </c>
      <c r="H29" s="129">
        <v>1</v>
      </c>
      <c r="I29" s="151">
        <v>98401</v>
      </c>
      <c r="J29" s="83" t="s">
        <v>429</v>
      </c>
      <c r="K29" s="27">
        <v>300000</v>
      </c>
      <c r="L29" s="245" t="s">
        <v>10</v>
      </c>
      <c r="M29" s="245">
        <v>41245</v>
      </c>
      <c r="N29" s="256"/>
      <c r="O29" s="27"/>
      <c r="P29" s="83"/>
      <c r="Q29" s="27"/>
      <c r="R29" s="83"/>
      <c r="S29" s="27"/>
      <c r="T29" s="83"/>
      <c r="U29" s="83"/>
      <c r="V29" s="24">
        <v>1</v>
      </c>
      <c r="W29" s="24">
        <v>300000</v>
      </c>
      <c r="X29" s="27"/>
      <c r="Z29" s="237">
        <f t="shared" si="1"/>
        <v>0</v>
      </c>
    </row>
    <row r="30" spans="1:26" s="141" customFormat="1" ht="48.75" x14ac:dyDescent="0.25">
      <c r="A30" s="186">
        <v>3.4</v>
      </c>
      <c r="B30" s="165" t="s">
        <v>460</v>
      </c>
      <c r="C30" s="110">
        <v>7490000</v>
      </c>
      <c r="D30" s="265" t="s">
        <v>336</v>
      </c>
      <c r="E30" s="114"/>
      <c r="F30" s="110">
        <v>796</v>
      </c>
      <c r="G30" s="81" t="s">
        <v>24</v>
      </c>
      <c r="H30" s="129">
        <v>3</v>
      </c>
      <c r="I30" s="151">
        <v>98401</v>
      </c>
      <c r="J30" s="83" t="s">
        <v>429</v>
      </c>
      <c r="K30" s="27">
        <v>54000</v>
      </c>
      <c r="L30" s="245" t="s">
        <v>9</v>
      </c>
      <c r="M30" s="245">
        <v>41183</v>
      </c>
      <c r="N30" s="256"/>
      <c r="O30" s="27"/>
      <c r="P30" s="83"/>
      <c r="Q30" s="27"/>
      <c r="R30" s="83"/>
      <c r="S30" s="27"/>
      <c r="T30" s="83">
        <v>3</v>
      </c>
      <c r="U30" s="83">
        <v>54000</v>
      </c>
      <c r="V30" s="24"/>
      <c r="W30" s="24"/>
      <c r="X30" s="27"/>
      <c r="Z30" s="237">
        <f t="shared" si="1"/>
        <v>0</v>
      </c>
    </row>
    <row r="31" spans="1:26" s="141" customFormat="1" ht="36.75" x14ac:dyDescent="0.25">
      <c r="A31" s="186">
        <v>3.5</v>
      </c>
      <c r="B31" s="165" t="s">
        <v>461</v>
      </c>
      <c r="C31" s="110">
        <v>7241000</v>
      </c>
      <c r="D31" s="265" t="s">
        <v>358</v>
      </c>
      <c r="E31" s="114"/>
      <c r="F31" s="114"/>
      <c r="G31" s="81"/>
      <c r="H31" s="129">
        <v>2</v>
      </c>
      <c r="I31" s="151">
        <v>98401</v>
      </c>
      <c r="J31" s="83" t="s">
        <v>429</v>
      </c>
      <c r="K31" s="27">
        <v>58711</v>
      </c>
      <c r="L31" s="245" t="s">
        <v>9</v>
      </c>
      <c r="M31" s="245">
        <v>41184</v>
      </c>
      <c r="N31" s="256"/>
      <c r="O31" s="27"/>
      <c r="P31" s="83"/>
      <c r="Q31" s="27"/>
      <c r="R31" s="83"/>
      <c r="S31" s="27"/>
      <c r="T31" s="83">
        <v>2</v>
      </c>
      <c r="U31" s="83">
        <v>58711</v>
      </c>
      <c r="V31" s="24"/>
      <c r="W31" s="24"/>
      <c r="X31" s="27"/>
      <c r="Z31" s="237">
        <f t="shared" si="1"/>
        <v>0</v>
      </c>
    </row>
    <row r="32" spans="1:26" s="141" customFormat="1" ht="36.75" x14ac:dyDescent="0.25">
      <c r="A32" s="186">
        <v>3.6</v>
      </c>
      <c r="B32" s="165" t="s">
        <v>462</v>
      </c>
      <c r="C32" s="110">
        <v>7490000</v>
      </c>
      <c r="D32" s="265" t="s">
        <v>359</v>
      </c>
      <c r="E32" s="114"/>
      <c r="F32" s="114"/>
      <c r="G32" s="81"/>
      <c r="H32" s="129">
        <f>R32</f>
        <v>1</v>
      </c>
      <c r="I32" s="151">
        <v>98401</v>
      </c>
      <c r="J32" s="83" t="s">
        <v>429</v>
      </c>
      <c r="K32" s="27">
        <f>S32</f>
        <v>94800</v>
      </c>
      <c r="L32" s="245" t="s">
        <v>8</v>
      </c>
      <c r="M32" s="245">
        <v>41061</v>
      </c>
      <c r="N32" s="256"/>
      <c r="O32" s="27"/>
      <c r="P32" s="83"/>
      <c r="Q32" s="27"/>
      <c r="R32" s="83">
        <v>1</v>
      </c>
      <c r="S32" s="27">
        <v>94800</v>
      </c>
      <c r="T32" s="83"/>
      <c r="U32" s="83"/>
      <c r="V32" s="24"/>
      <c r="W32" s="24"/>
      <c r="X32" s="27"/>
      <c r="Z32" s="237">
        <f t="shared" si="1"/>
        <v>0</v>
      </c>
    </row>
    <row r="33" spans="1:26" s="141" customFormat="1" ht="48.75" x14ac:dyDescent="0.25">
      <c r="A33" s="186">
        <v>3.7</v>
      </c>
      <c r="B33" s="165" t="s">
        <v>463</v>
      </c>
      <c r="C33" s="110">
        <v>7490000</v>
      </c>
      <c r="D33" s="265" t="s">
        <v>357</v>
      </c>
      <c r="E33" s="114"/>
      <c r="F33" s="114"/>
      <c r="G33" s="81"/>
      <c r="H33" s="129">
        <v>4</v>
      </c>
      <c r="I33" s="151">
        <v>98401</v>
      </c>
      <c r="J33" s="83" t="s">
        <v>429</v>
      </c>
      <c r="K33" s="27">
        <v>27730</v>
      </c>
      <c r="L33" s="245" t="s">
        <v>9</v>
      </c>
      <c r="M33" s="245">
        <v>41184</v>
      </c>
      <c r="N33" s="256"/>
      <c r="O33" s="27"/>
      <c r="P33" s="83"/>
      <c r="Q33" s="27"/>
      <c r="R33" s="83"/>
      <c r="S33" s="27"/>
      <c r="T33" s="83">
        <v>4</v>
      </c>
      <c r="U33" s="83">
        <v>27730</v>
      </c>
      <c r="V33" s="24"/>
      <c r="W33" s="24"/>
      <c r="X33" s="27"/>
      <c r="Z33" s="237">
        <f t="shared" si="1"/>
        <v>0</v>
      </c>
    </row>
    <row r="34" spans="1:26" s="230" customFormat="1" ht="14.25" x14ac:dyDescent="0.2">
      <c r="A34" s="232">
        <v>4</v>
      </c>
      <c r="B34" s="156"/>
      <c r="C34" s="157">
        <v>7523000</v>
      </c>
      <c r="D34" s="264" t="s">
        <v>494</v>
      </c>
      <c r="E34" s="159"/>
      <c r="F34" s="159"/>
      <c r="G34" s="160"/>
      <c r="H34" s="160"/>
      <c r="I34" s="161"/>
      <c r="J34" s="162"/>
      <c r="K34" s="162">
        <f>SUM(K35:K47)</f>
        <v>2547638</v>
      </c>
      <c r="L34" s="244"/>
      <c r="M34" s="244"/>
      <c r="N34" s="254"/>
      <c r="O34" s="162"/>
      <c r="P34" s="162">
        <f t="shared" ref="P34:W34" si="3">SUM(P35:P47)</f>
        <v>96</v>
      </c>
      <c r="Q34" s="162">
        <f t="shared" si="3"/>
        <v>2111151</v>
      </c>
      <c r="R34" s="162">
        <f t="shared" si="3"/>
        <v>3</v>
      </c>
      <c r="S34" s="162">
        <f t="shared" si="3"/>
        <v>30000</v>
      </c>
      <c r="T34" s="162">
        <f t="shared" si="3"/>
        <v>13</v>
      </c>
      <c r="U34" s="162">
        <f t="shared" si="3"/>
        <v>286487</v>
      </c>
      <c r="V34" s="162">
        <f t="shared" si="3"/>
        <v>12</v>
      </c>
      <c r="W34" s="162">
        <f t="shared" si="3"/>
        <v>120000</v>
      </c>
      <c r="X34" s="163"/>
      <c r="Y34" s="231"/>
      <c r="Z34" s="240">
        <f t="shared" si="1"/>
        <v>0</v>
      </c>
    </row>
    <row r="35" spans="1:26" s="141" customFormat="1" ht="24.75" x14ac:dyDescent="0.25">
      <c r="A35" s="186">
        <v>4.0999999999999996</v>
      </c>
      <c r="B35" s="165" t="s">
        <v>403</v>
      </c>
      <c r="C35" s="110">
        <v>7523000</v>
      </c>
      <c r="D35" s="265" t="s">
        <v>27</v>
      </c>
      <c r="E35" s="11"/>
      <c r="F35" s="11">
        <v>362</v>
      </c>
      <c r="G35" s="81" t="s">
        <v>22</v>
      </c>
      <c r="H35" s="81">
        <v>9</v>
      </c>
      <c r="I35" s="151">
        <v>98241501</v>
      </c>
      <c r="J35" s="24" t="s">
        <v>456</v>
      </c>
      <c r="K35" s="83">
        <v>90000</v>
      </c>
      <c r="L35" s="245" t="s">
        <v>450</v>
      </c>
      <c r="M35" s="245">
        <v>41244</v>
      </c>
      <c r="N35" s="255"/>
      <c r="O35" s="83"/>
      <c r="P35" s="83"/>
      <c r="Q35" s="83"/>
      <c r="R35" s="83">
        <v>3</v>
      </c>
      <c r="S35" s="83">
        <v>30000</v>
      </c>
      <c r="T35" s="83">
        <v>3</v>
      </c>
      <c r="U35" s="83">
        <v>30000</v>
      </c>
      <c r="V35" s="83">
        <v>3</v>
      </c>
      <c r="W35" s="83">
        <v>30000</v>
      </c>
      <c r="X35" s="167"/>
      <c r="Z35" s="237">
        <f t="shared" si="1"/>
        <v>0</v>
      </c>
    </row>
    <row r="36" spans="1:26" s="141" customFormat="1" ht="30" x14ac:dyDescent="0.25">
      <c r="A36" s="186">
        <v>4.2</v>
      </c>
      <c r="B36" s="165" t="s">
        <v>403</v>
      </c>
      <c r="C36" s="110">
        <v>7523000</v>
      </c>
      <c r="D36" s="266" t="s">
        <v>28</v>
      </c>
      <c r="E36" s="184"/>
      <c r="F36" s="11">
        <v>362</v>
      </c>
      <c r="G36" s="81" t="s">
        <v>22</v>
      </c>
      <c r="H36" s="81">
        <v>6</v>
      </c>
      <c r="I36" s="151">
        <v>98204</v>
      </c>
      <c r="J36" s="83" t="s">
        <v>431</v>
      </c>
      <c r="K36" s="83">
        <v>60000</v>
      </c>
      <c r="L36" s="245" t="s">
        <v>450</v>
      </c>
      <c r="M36" s="245">
        <v>41244</v>
      </c>
      <c r="N36" s="255"/>
      <c r="O36" s="83"/>
      <c r="P36" s="83"/>
      <c r="Q36" s="83"/>
      <c r="R36" s="83"/>
      <c r="S36" s="83"/>
      <c r="T36" s="83">
        <v>3</v>
      </c>
      <c r="U36" s="83">
        <v>30000</v>
      </c>
      <c r="V36" s="83">
        <v>3</v>
      </c>
      <c r="W36" s="83">
        <v>30000</v>
      </c>
      <c r="X36" s="167"/>
      <c r="Z36" s="237">
        <f t="shared" si="1"/>
        <v>0</v>
      </c>
    </row>
    <row r="37" spans="1:26" s="141" customFormat="1" ht="24.75" x14ac:dyDescent="0.25">
      <c r="A37" s="186">
        <v>4.3</v>
      </c>
      <c r="B37" s="165" t="s">
        <v>403</v>
      </c>
      <c r="C37" s="110">
        <v>7523000</v>
      </c>
      <c r="D37" s="266" t="s">
        <v>29</v>
      </c>
      <c r="E37" s="184"/>
      <c r="F37" s="11">
        <v>362</v>
      </c>
      <c r="G37" s="81" t="s">
        <v>22</v>
      </c>
      <c r="H37" s="81">
        <v>6</v>
      </c>
      <c r="I37" s="151">
        <v>98254551</v>
      </c>
      <c r="J37" s="24" t="s">
        <v>442</v>
      </c>
      <c r="K37" s="83">
        <v>60000</v>
      </c>
      <c r="L37" s="245" t="s">
        <v>450</v>
      </c>
      <c r="M37" s="245">
        <v>41244</v>
      </c>
      <c r="N37" s="255"/>
      <c r="O37" s="83"/>
      <c r="P37" s="83"/>
      <c r="Q37" s="83"/>
      <c r="R37" s="83"/>
      <c r="S37" s="83"/>
      <c r="T37" s="83">
        <v>3</v>
      </c>
      <c r="U37" s="83">
        <v>30000</v>
      </c>
      <c r="V37" s="83">
        <v>3</v>
      </c>
      <c r="W37" s="83">
        <v>30000</v>
      </c>
      <c r="X37" s="167"/>
      <c r="Z37" s="237">
        <f t="shared" si="1"/>
        <v>0</v>
      </c>
    </row>
    <row r="38" spans="1:26" s="141" customFormat="1" ht="36.75" x14ac:dyDescent="0.25">
      <c r="A38" s="186">
        <v>4.4000000000000004</v>
      </c>
      <c r="B38" s="165" t="s">
        <v>403</v>
      </c>
      <c r="C38" s="110">
        <v>7523000</v>
      </c>
      <c r="D38" s="266" t="s">
        <v>30</v>
      </c>
      <c r="E38" s="184"/>
      <c r="F38" s="11">
        <v>362</v>
      </c>
      <c r="G38" s="81" t="s">
        <v>22</v>
      </c>
      <c r="H38" s="81">
        <v>6</v>
      </c>
      <c r="I38" s="151">
        <v>98229</v>
      </c>
      <c r="J38" s="24" t="s">
        <v>439</v>
      </c>
      <c r="K38" s="83">
        <v>60000</v>
      </c>
      <c r="L38" s="245" t="s">
        <v>450</v>
      </c>
      <c r="M38" s="245">
        <v>41244</v>
      </c>
      <c r="N38" s="255"/>
      <c r="O38" s="83"/>
      <c r="P38" s="83"/>
      <c r="Q38" s="83"/>
      <c r="R38" s="83"/>
      <c r="S38" s="83"/>
      <c r="T38" s="83">
        <v>3</v>
      </c>
      <c r="U38" s="83">
        <v>30000</v>
      </c>
      <c r="V38" s="83">
        <v>3</v>
      </c>
      <c r="W38" s="83">
        <v>30000</v>
      </c>
      <c r="X38" s="167"/>
      <c r="Z38" s="237">
        <f t="shared" si="1"/>
        <v>0</v>
      </c>
    </row>
    <row r="39" spans="1:26" s="141" customFormat="1" ht="30" x14ac:dyDescent="0.25">
      <c r="A39" s="186">
        <v>4.5</v>
      </c>
      <c r="B39" s="165" t="s">
        <v>403</v>
      </c>
      <c r="C39" s="110">
        <v>7523000</v>
      </c>
      <c r="D39" s="266" t="s">
        <v>31</v>
      </c>
      <c r="E39" s="184"/>
      <c r="F39" s="11">
        <v>362</v>
      </c>
      <c r="G39" s="81" t="s">
        <v>22</v>
      </c>
      <c r="H39" s="81">
        <v>12</v>
      </c>
      <c r="I39" s="151">
        <v>98248</v>
      </c>
      <c r="J39" s="83" t="s">
        <v>444</v>
      </c>
      <c r="K39" s="83">
        <v>54000</v>
      </c>
      <c r="L39" s="245" t="s">
        <v>7</v>
      </c>
      <c r="M39" s="245">
        <v>41244</v>
      </c>
      <c r="N39" s="255"/>
      <c r="O39" s="83"/>
      <c r="P39" s="83">
        <v>12</v>
      </c>
      <c r="Q39" s="83">
        <v>54000</v>
      </c>
      <c r="R39" s="83"/>
      <c r="S39" s="83"/>
      <c r="T39" s="83"/>
      <c r="U39" s="83"/>
      <c r="V39" s="83"/>
      <c r="W39" s="83"/>
      <c r="X39" s="167"/>
      <c r="Z39" s="237">
        <f t="shared" si="1"/>
        <v>0</v>
      </c>
    </row>
    <row r="40" spans="1:26" s="141" customFormat="1" ht="24.75" x14ac:dyDescent="0.25">
      <c r="A40" s="186">
        <v>4.5999999999999996</v>
      </c>
      <c r="B40" s="165" t="s">
        <v>403</v>
      </c>
      <c r="C40" s="110">
        <v>7523000</v>
      </c>
      <c r="D40" s="266" t="s">
        <v>32</v>
      </c>
      <c r="E40" s="114"/>
      <c r="F40" s="11">
        <v>362</v>
      </c>
      <c r="G40" s="81" t="s">
        <v>22</v>
      </c>
      <c r="H40" s="81">
        <v>12</v>
      </c>
      <c r="I40" s="151">
        <v>98218501</v>
      </c>
      <c r="J40" s="24" t="s">
        <v>434</v>
      </c>
      <c r="K40" s="83">
        <v>112230</v>
      </c>
      <c r="L40" s="245" t="s">
        <v>7</v>
      </c>
      <c r="M40" s="245">
        <v>41244</v>
      </c>
      <c r="N40" s="255"/>
      <c r="O40" s="83"/>
      <c r="P40" s="83">
        <v>12</v>
      </c>
      <c r="Q40" s="83">
        <v>112230</v>
      </c>
      <c r="R40" s="83"/>
      <c r="S40" s="83"/>
      <c r="T40" s="83"/>
      <c r="U40" s="83"/>
      <c r="V40" s="83"/>
      <c r="W40" s="83"/>
      <c r="X40" s="167"/>
      <c r="Z40" s="237">
        <f t="shared" si="1"/>
        <v>0</v>
      </c>
    </row>
    <row r="41" spans="1:26" s="141" customFormat="1" ht="24.75" x14ac:dyDescent="0.25">
      <c r="A41" s="186">
        <v>4.7</v>
      </c>
      <c r="B41" s="165" t="s">
        <v>403</v>
      </c>
      <c r="C41" s="110">
        <v>7523000</v>
      </c>
      <c r="D41" s="265" t="s">
        <v>33</v>
      </c>
      <c r="E41" s="11"/>
      <c r="F41" s="11">
        <v>362</v>
      </c>
      <c r="G41" s="81" t="s">
        <v>22</v>
      </c>
      <c r="H41" s="129">
        <v>12</v>
      </c>
      <c r="I41" s="151">
        <v>98227501</v>
      </c>
      <c r="J41" s="24" t="s">
        <v>430</v>
      </c>
      <c r="K41" s="24">
        <v>240000</v>
      </c>
      <c r="L41" s="245" t="s">
        <v>7</v>
      </c>
      <c r="M41" s="245">
        <v>41244</v>
      </c>
      <c r="N41" s="257"/>
      <c r="O41" s="24"/>
      <c r="P41" s="83">
        <v>12</v>
      </c>
      <c r="Q41" s="83">
        <v>240000</v>
      </c>
      <c r="R41" s="83"/>
      <c r="S41" s="83"/>
      <c r="T41" s="83"/>
      <c r="U41" s="83"/>
      <c r="V41" s="83"/>
      <c r="W41" s="83"/>
      <c r="X41" s="167"/>
      <c r="Z41" s="237">
        <f t="shared" si="1"/>
        <v>0</v>
      </c>
    </row>
    <row r="42" spans="1:26" s="141" customFormat="1" ht="36.75" x14ac:dyDescent="0.25">
      <c r="A42" s="186">
        <v>4.8</v>
      </c>
      <c r="B42" s="165" t="s">
        <v>403</v>
      </c>
      <c r="C42" s="110">
        <v>7523000</v>
      </c>
      <c r="D42" s="265" t="s">
        <v>34</v>
      </c>
      <c r="E42" s="11"/>
      <c r="F42" s="11">
        <v>362</v>
      </c>
      <c r="G42" s="81" t="s">
        <v>22</v>
      </c>
      <c r="H42" s="129">
        <v>12</v>
      </c>
      <c r="I42" s="151">
        <v>98231552</v>
      </c>
      <c r="J42" s="24" t="s">
        <v>432</v>
      </c>
      <c r="K42" s="24">
        <v>130516</v>
      </c>
      <c r="L42" s="245" t="s">
        <v>7</v>
      </c>
      <c r="M42" s="245">
        <v>41244</v>
      </c>
      <c r="N42" s="257"/>
      <c r="O42" s="24"/>
      <c r="P42" s="83">
        <v>12</v>
      </c>
      <c r="Q42" s="83">
        <v>130516</v>
      </c>
      <c r="R42" s="83"/>
      <c r="S42" s="83"/>
      <c r="T42" s="83"/>
      <c r="U42" s="83"/>
      <c r="V42" s="83"/>
      <c r="W42" s="83"/>
      <c r="X42" s="167"/>
      <c r="Z42" s="237">
        <f t="shared" si="1"/>
        <v>0</v>
      </c>
    </row>
    <row r="43" spans="1:26" s="141" customFormat="1" ht="36.75" x14ac:dyDescent="0.25">
      <c r="A43" s="186">
        <v>4.9000000000000004</v>
      </c>
      <c r="B43" s="165" t="s">
        <v>403</v>
      </c>
      <c r="C43" s="110">
        <v>7523000</v>
      </c>
      <c r="D43" s="265" t="s">
        <v>35</v>
      </c>
      <c r="E43" s="11"/>
      <c r="F43" s="11">
        <v>362</v>
      </c>
      <c r="G43" s="81" t="s">
        <v>22</v>
      </c>
      <c r="H43" s="129">
        <v>12</v>
      </c>
      <c r="I43" s="151">
        <v>98231509</v>
      </c>
      <c r="J43" s="24" t="s">
        <v>443</v>
      </c>
      <c r="K43" s="24">
        <v>124442</v>
      </c>
      <c r="L43" s="245" t="s">
        <v>7</v>
      </c>
      <c r="M43" s="245">
        <v>41244</v>
      </c>
      <c r="N43" s="257"/>
      <c r="O43" s="24"/>
      <c r="P43" s="83">
        <v>12</v>
      </c>
      <c r="Q43" s="83">
        <v>124442</v>
      </c>
      <c r="R43" s="83"/>
      <c r="S43" s="83"/>
      <c r="T43" s="83"/>
      <c r="U43" s="83"/>
      <c r="V43" s="83"/>
      <c r="W43" s="83"/>
      <c r="X43" s="167"/>
      <c r="Z43" s="237">
        <f t="shared" si="1"/>
        <v>0</v>
      </c>
    </row>
    <row r="44" spans="1:26" s="141" customFormat="1" ht="24.75" x14ac:dyDescent="0.25">
      <c r="A44" s="186">
        <v>4.0999999999999996</v>
      </c>
      <c r="B44" s="165" t="s">
        <v>403</v>
      </c>
      <c r="C44" s="110">
        <v>7523000</v>
      </c>
      <c r="D44" s="265" t="s">
        <v>36</v>
      </c>
      <c r="E44" s="11"/>
      <c r="F44" s="11">
        <v>362</v>
      </c>
      <c r="G44" s="81" t="s">
        <v>22</v>
      </c>
      <c r="H44" s="129">
        <v>12</v>
      </c>
      <c r="I44" s="151">
        <v>98404</v>
      </c>
      <c r="J44" s="24" t="s">
        <v>440</v>
      </c>
      <c r="K44" s="24">
        <f>Q44</f>
        <v>378509</v>
      </c>
      <c r="L44" s="245" t="s">
        <v>7</v>
      </c>
      <c r="M44" s="245">
        <v>41244</v>
      </c>
      <c r="N44" s="257"/>
      <c r="O44" s="24"/>
      <c r="P44" s="83">
        <v>12</v>
      </c>
      <c r="Q44" s="83">
        <v>378509</v>
      </c>
      <c r="R44" s="83"/>
      <c r="S44" s="83"/>
      <c r="T44" s="83"/>
      <c r="U44" s="83"/>
      <c r="V44" s="83"/>
      <c r="W44" s="83"/>
      <c r="X44" s="167"/>
      <c r="Z44" s="239">
        <f t="shared" si="1"/>
        <v>0</v>
      </c>
    </row>
    <row r="45" spans="1:26" s="141" customFormat="1" ht="36.75" x14ac:dyDescent="0.25">
      <c r="A45" s="186">
        <v>4.1100000000000003</v>
      </c>
      <c r="B45" s="165" t="s">
        <v>403</v>
      </c>
      <c r="C45" s="110">
        <v>7523000</v>
      </c>
      <c r="D45" s="265" t="s">
        <v>37</v>
      </c>
      <c r="E45" s="11"/>
      <c r="F45" s="11">
        <v>362</v>
      </c>
      <c r="G45" s="81" t="s">
        <v>22</v>
      </c>
      <c r="H45" s="129">
        <v>12</v>
      </c>
      <c r="I45" s="151">
        <v>98406</v>
      </c>
      <c r="J45" s="24" t="s">
        <v>441</v>
      </c>
      <c r="K45" s="24">
        <v>69696</v>
      </c>
      <c r="L45" s="245" t="s">
        <v>7</v>
      </c>
      <c r="M45" s="245">
        <v>41244</v>
      </c>
      <c r="N45" s="257"/>
      <c r="O45" s="24"/>
      <c r="P45" s="83">
        <v>12</v>
      </c>
      <c r="Q45" s="83">
        <v>69696</v>
      </c>
      <c r="R45" s="83"/>
      <c r="S45" s="83"/>
      <c r="T45" s="83"/>
      <c r="U45" s="83"/>
      <c r="V45" s="83"/>
      <c r="W45" s="83"/>
      <c r="X45" s="167"/>
      <c r="Z45" s="239">
        <f t="shared" si="1"/>
        <v>0</v>
      </c>
    </row>
    <row r="46" spans="1:26" s="141" customFormat="1" ht="24.75" x14ac:dyDescent="0.25">
      <c r="A46" s="186">
        <v>4.12</v>
      </c>
      <c r="B46" s="165" t="s">
        <v>403</v>
      </c>
      <c r="C46" s="110">
        <v>7523000</v>
      </c>
      <c r="D46" s="265" t="s">
        <v>38</v>
      </c>
      <c r="E46" s="11"/>
      <c r="F46" s="11">
        <v>362</v>
      </c>
      <c r="G46" s="81" t="s">
        <v>22</v>
      </c>
      <c r="H46" s="129">
        <v>12</v>
      </c>
      <c r="I46" s="151">
        <v>98401</v>
      </c>
      <c r="J46" s="83" t="s">
        <v>429</v>
      </c>
      <c r="K46" s="27">
        <f>Q46</f>
        <v>1001758</v>
      </c>
      <c r="L46" s="245" t="s">
        <v>7</v>
      </c>
      <c r="M46" s="245">
        <v>41244</v>
      </c>
      <c r="N46" s="256"/>
      <c r="O46" s="27"/>
      <c r="P46" s="83">
        <v>12</v>
      </c>
      <c r="Q46" s="83">
        <v>1001758</v>
      </c>
      <c r="R46" s="83"/>
      <c r="S46" s="83"/>
      <c r="T46" s="83"/>
      <c r="U46" s="83"/>
      <c r="V46" s="83"/>
      <c r="W46" s="83"/>
      <c r="X46" s="167"/>
      <c r="Z46" s="239">
        <f t="shared" si="1"/>
        <v>0</v>
      </c>
    </row>
    <row r="47" spans="1:26" s="141" customFormat="1" x14ac:dyDescent="0.25">
      <c r="A47" s="186">
        <v>4.13</v>
      </c>
      <c r="B47" s="165"/>
      <c r="C47" s="110"/>
      <c r="D47" s="267" t="s">
        <v>334</v>
      </c>
      <c r="E47" s="11"/>
      <c r="F47" s="110">
        <v>796</v>
      </c>
      <c r="G47" s="81" t="s">
        <v>17</v>
      </c>
      <c r="H47" s="129">
        <v>1</v>
      </c>
      <c r="I47" s="151">
        <v>98401</v>
      </c>
      <c r="J47" s="83" t="s">
        <v>429</v>
      </c>
      <c r="K47" s="27">
        <v>166487</v>
      </c>
      <c r="L47" s="245" t="s">
        <v>9</v>
      </c>
      <c r="M47" s="245">
        <v>41184</v>
      </c>
      <c r="N47" s="256"/>
      <c r="O47" s="27"/>
      <c r="P47" s="83"/>
      <c r="Q47" s="83"/>
      <c r="R47" s="83"/>
      <c r="S47" s="83"/>
      <c r="T47" s="83">
        <v>1</v>
      </c>
      <c r="U47" s="83">
        <v>166487</v>
      </c>
      <c r="V47" s="83"/>
      <c r="W47" s="83"/>
      <c r="X47" s="167"/>
      <c r="Z47" s="237">
        <f t="shared" si="1"/>
        <v>0</v>
      </c>
    </row>
    <row r="48" spans="1:26" s="230" customFormat="1" ht="24" x14ac:dyDescent="0.2">
      <c r="A48" s="232">
        <v>5</v>
      </c>
      <c r="B48" s="156" t="s">
        <v>404</v>
      </c>
      <c r="C48" s="157">
        <v>7492050</v>
      </c>
      <c r="D48" s="264" t="s">
        <v>499</v>
      </c>
      <c r="E48" s="159"/>
      <c r="F48" s="159"/>
      <c r="G48" s="160"/>
      <c r="H48" s="160"/>
      <c r="I48" s="161"/>
      <c r="J48" s="162"/>
      <c r="K48" s="162">
        <f>SUM(K49:K53)</f>
        <v>490000</v>
      </c>
      <c r="L48" s="244"/>
      <c r="M48" s="244"/>
      <c r="N48" s="254"/>
      <c r="O48" s="162"/>
      <c r="P48" s="162">
        <f t="shared" ref="P48:W48" si="4">SUM(P49:P53)</f>
        <v>0</v>
      </c>
      <c r="Q48" s="162">
        <f t="shared" si="4"/>
        <v>70000</v>
      </c>
      <c r="R48" s="162">
        <f t="shared" si="4"/>
        <v>0</v>
      </c>
      <c r="S48" s="162">
        <f t="shared" si="4"/>
        <v>0</v>
      </c>
      <c r="T48" s="162">
        <f t="shared" si="4"/>
        <v>0</v>
      </c>
      <c r="U48" s="162">
        <f t="shared" si="4"/>
        <v>54000</v>
      </c>
      <c r="V48" s="162">
        <f t="shared" si="4"/>
        <v>0</v>
      </c>
      <c r="W48" s="162">
        <f t="shared" si="4"/>
        <v>366000</v>
      </c>
      <c r="X48" s="163"/>
      <c r="Y48" s="231"/>
      <c r="Z48" s="237">
        <f t="shared" si="1"/>
        <v>0</v>
      </c>
    </row>
    <row r="49" spans="1:26" s="141" customFormat="1" ht="24.75" x14ac:dyDescent="0.25">
      <c r="A49" s="186">
        <v>5.0999999999999996</v>
      </c>
      <c r="B49" s="165" t="s">
        <v>404</v>
      </c>
      <c r="C49" s="110">
        <v>7492050</v>
      </c>
      <c r="D49" s="265" t="s">
        <v>27</v>
      </c>
      <c r="E49" s="11"/>
      <c r="F49" s="110"/>
      <c r="G49" s="81"/>
      <c r="H49" s="129"/>
      <c r="I49" s="151">
        <v>98241501</v>
      </c>
      <c r="J49" s="24" t="s">
        <v>456</v>
      </c>
      <c r="K49" s="27">
        <v>70000</v>
      </c>
      <c r="L49" s="246" t="str">
        <f>IF(Q49&gt;0,"1 квартал 2012",IF(S49&gt;0,"2 квартал 2012",IF(U49&gt;0,"3 квартал 2012","4 квартал 2012")))</f>
        <v>1 квартал 2012</v>
      </c>
      <c r="M49" s="247"/>
      <c r="N49" s="256"/>
      <c r="O49" s="27"/>
      <c r="P49" s="24"/>
      <c r="Q49" s="27">
        <v>70000</v>
      </c>
      <c r="R49" s="83"/>
      <c r="S49" s="83"/>
      <c r="T49" s="83"/>
      <c r="U49" s="83"/>
      <c r="V49" s="83"/>
      <c r="W49" s="83"/>
      <c r="X49" s="167"/>
      <c r="Z49" s="237">
        <f t="shared" si="1"/>
        <v>0</v>
      </c>
    </row>
    <row r="50" spans="1:26" s="141" customFormat="1" ht="30" x14ac:dyDescent="0.25">
      <c r="A50" s="186">
        <v>5.2</v>
      </c>
      <c r="B50" s="165" t="s">
        <v>404</v>
      </c>
      <c r="C50" s="110">
        <v>7492050</v>
      </c>
      <c r="D50" s="266" t="s">
        <v>28</v>
      </c>
      <c r="E50" s="184"/>
      <c r="F50" s="110"/>
      <c r="G50" s="81"/>
      <c r="H50" s="129"/>
      <c r="I50" s="151">
        <v>98204</v>
      </c>
      <c r="J50" s="83" t="s">
        <v>431</v>
      </c>
      <c r="K50" s="27">
        <v>70000</v>
      </c>
      <c r="L50" s="246" t="str">
        <f t="shared" ref="L50:L115" si="5">IF(Q50&gt;0,"1 квартал 2012",IF(S50&gt;0,"2 квартал 2012",IF(U50&gt;0,"3 квартал 2012","4 квартал 2012")))</f>
        <v>4 квартал 2012</v>
      </c>
      <c r="M50" s="245">
        <v>41244</v>
      </c>
      <c r="N50" s="256"/>
      <c r="O50" s="27"/>
      <c r="P50" s="24"/>
      <c r="Q50" s="27"/>
      <c r="R50" s="83"/>
      <c r="S50" s="83"/>
      <c r="T50" s="83"/>
      <c r="U50" s="83"/>
      <c r="V50" s="83"/>
      <c r="W50" s="83">
        <v>70000</v>
      </c>
      <c r="X50" s="167"/>
      <c r="Z50" s="237">
        <f t="shared" si="1"/>
        <v>0</v>
      </c>
    </row>
    <row r="51" spans="1:26" s="141" customFormat="1" ht="24.75" x14ac:dyDescent="0.25">
      <c r="A51" s="186">
        <v>5.3</v>
      </c>
      <c r="B51" s="165" t="s">
        <v>404</v>
      </c>
      <c r="C51" s="110">
        <v>7492050</v>
      </c>
      <c r="D51" s="266" t="s">
        <v>29</v>
      </c>
      <c r="E51" s="184"/>
      <c r="F51" s="110"/>
      <c r="G51" s="81"/>
      <c r="H51" s="129"/>
      <c r="I51" s="151">
        <v>98254551</v>
      </c>
      <c r="J51" s="24" t="s">
        <v>442</v>
      </c>
      <c r="K51" s="27">
        <v>100000</v>
      </c>
      <c r="L51" s="246" t="str">
        <f t="shared" si="5"/>
        <v>4 квартал 2012</v>
      </c>
      <c r="M51" s="245">
        <v>41244</v>
      </c>
      <c r="N51" s="256"/>
      <c r="O51" s="27"/>
      <c r="P51" s="24"/>
      <c r="Q51" s="27"/>
      <c r="R51" s="83"/>
      <c r="S51" s="83"/>
      <c r="T51" s="83"/>
      <c r="U51" s="83"/>
      <c r="V51" s="83"/>
      <c r="W51" s="83">
        <v>100000</v>
      </c>
      <c r="X51" s="167"/>
      <c r="Z51" s="237">
        <f t="shared" si="1"/>
        <v>0</v>
      </c>
    </row>
    <row r="52" spans="1:26" s="141" customFormat="1" ht="36.75" x14ac:dyDescent="0.25">
      <c r="A52" s="186">
        <v>5.4</v>
      </c>
      <c r="B52" s="165" t="s">
        <v>404</v>
      </c>
      <c r="C52" s="110">
        <v>7492050</v>
      </c>
      <c r="D52" s="266" t="s">
        <v>30</v>
      </c>
      <c r="E52" s="184"/>
      <c r="F52" s="110"/>
      <c r="G52" s="81"/>
      <c r="H52" s="129"/>
      <c r="I52" s="151">
        <v>98229</v>
      </c>
      <c r="J52" s="24" t="s">
        <v>439</v>
      </c>
      <c r="K52" s="27">
        <v>70000</v>
      </c>
      <c r="L52" s="246" t="str">
        <f t="shared" si="5"/>
        <v>4 квартал 2012</v>
      </c>
      <c r="M52" s="245">
        <v>41244</v>
      </c>
      <c r="N52" s="256"/>
      <c r="O52" s="27"/>
      <c r="P52" s="24"/>
      <c r="Q52" s="27"/>
      <c r="R52" s="83"/>
      <c r="S52" s="83"/>
      <c r="T52" s="83"/>
      <c r="U52" s="83"/>
      <c r="V52" s="83"/>
      <c r="W52" s="83">
        <v>70000</v>
      </c>
      <c r="X52" s="167"/>
      <c r="Z52" s="237">
        <f t="shared" si="1"/>
        <v>0</v>
      </c>
    </row>
    <row r="53" spans="1:26" s="141" customFormat="1" ht="24.75" x14ac:dyDescent="0.25">
      <c r="A53" s="186">
        <v>5.5</v>
      </c>
      <c r="B53" s="165" t="s">
        <v>404</v>
      </c>
      <c r="C53" s="110">
        <v>7492050</v>
      </c>
      <c r="D53" s="266" t="s">
        <v>40</v>
      </c>
      <c r="E53" s="184"/>
      <c r="F53" s="110"/>
      <c r="G53" s="81"/>
      <c r="H53" s="129"/>
      <c r="I53" s="151">
        <v>98227501</v>
      </c>
      <c r="J53" s="24" t="s">
        <v>430</v>
      </c>
      <c r="K53" s="27">
        <v>180000</v>
      </c>
      <c r="L53" s="246" t="str">
        <f t="shared" si="5"/>
        <v>3 квартал 2012</v>
      </c>
      <c r="M53" s="247"/>
      <c r="N53" s="256"/>
      <c r="O53" s="27"/>
      <c r="P53" s="24"/>
      <c r="Q53" s="27"/>
      <c r="R53" s="83"/>
      <c r="S53" s="83"/>
      <c r="T53" s="83"/>
      <c r="U53" s="83">
        <v>54000</v>
      </c>
      <c r="V53" s="83"/>
      <c r="W53" s="83">
        <v>126000</v>
      </c>
      <c r="X53" s="167"/>
      <c r="Z53" s="237">
        <f t="shared" si="1"/>
        <v>0</v>
      </c>
    </row>
    <row r="54" spans="1:26" s="230" customFormat="1" ht="24" x14ac:dyDescent="0.2">
      <c r="A54" s="232">
        <v>6</v>
      </c>
      <c r="B54" s="156" t="s">
        <v>405</v>
      </c>
      <c r="C54" s="157">
        <v>7250010</v>
      </c>
      <c r="D54" s="264" t="s">
        <v>41</v>
      </c>
      <c r="E54" s="159"/>
      <c r="F54" s="159">
        <v>796</v>
      </c>
      <c r="G54" s="160" t="s">
        <v>17</v>
      </c>
      <c r="H54" s="160">
        <v>700</v>
      </c>
      <c r="I54" s="161">
        <v>98401</v>
      </c>
      <c r="J54" s="162" t="s">
        <v>429</v>
      </c>
      <c r="K54" s="162">
        <v>1280000</v>
      </c>
      <c r="L54" s="244"/>
      <c r="M54" s="244"/>
      <c r="N54" s="254"/>
      <c r="O54" s="162"/>
      <c r="P54" s="162">
        <v>550</v>
      </c>
      <c r="Q54" s="162">
        <v>1070000</v>
      </c>
      <c r="R54" s="162">
        <v>50</v>
      </c>
      <c r="S54" s="162">
        <v>70000</v>
      </c>
      <c r="T54" s="162">
        <v>50</v>
      </c>
      <c r="U54" s="162">
        <v>70000</v>
      </c>
      <c r="V54" s="162">
        <v>50</v>
      </c>
      <c r="W54" s="162">
        <v>70000</v>
      </c>
      <c r="X54" s="163"/>
      <c r="Y54" s="231"/>
      <c r="Z54" s="237">
        <f t="shared" si="1"/>
        <v>0</v>
      </c>
    </row>
    <row r="55" spans="1:26" s="141" customFormat="1" x14ac:dyDescent="0.25">
      <c r="A55" s="186">
        <v>6.1</v>
      </c>
      <c r="B55" s="165" t="s">
        <v>405</v>
      </c>
      <c r="C55" s="110">
        <v>7250010</v>
      </c>
      <c r="D55" s="267" t="s">
        <v>41</v>
      </c>
      <c r="E55" s="11"/>
      <c r="F55" s="110">
        <v>796</v>
      </c>
      <c r="G55" s="129" t="s">
        <v>17</v>
      </c>
      <c r="H55" s="129">
        <v>700</v>
      </c>
      <c r="I55" s="151">
        <v>98401</v>
      </c>
      <c r="J55" s="83" t="s">
        <v>429</v>
      </c>
      <c r="K55" s="24">
        <v>1280000</v>
      </c>
      <c r="L55" s="246" t="str">
        <f t="shared" si="5"/>
        <v>1 квартал 2012</v>
      </c>
      <c r="M55" s="248"/>
      <c r="N55" s="257"/>
      <c r="O55" s="24"/>
      <c r="P55" s="83">
        <v>550</v>
      </c>
      <c r="Q55" s="83">
        <v>1070000</v>
      </c>
      <c r="R55" s="83">
        <v>50</v>
      </c>
      <c r="S55" s="83">
        <v>70000</v>
      </c>
      <c r="T55" s="83">
        <v>50</v>
      </c>
      <c r="U55" s="83">
        <v>70000</v>
      </c>
      <c r="V55" s="83">
        <v>50</v>
      </c>
      <c r="W55" s="83">
        <v>70000</v>
      </c>
      <c r="X55" s="167"/>
      <c r="Z55" s="237">
        <f t="shared" si="1"/>
        <v>0</v>
      </c>
    </row>
    <row r="56" spans="1:26" s="230" customFormat="1" ht="14.25" x14ac:dyDescent="0.2">
      <c r="A56" s="232">
        <v>7</v>
      </c>
      <c r="B56" s="156"/>
      <c r="C56" s="157"/>
      <c r="D56" s="264" t="s">
        <v>42</v>
      </c>
      <c r="E56" s="159"/>
      <c r="F56" s="159"/>
      <c r="G56" s="160"/>
      <c r="H56" s="160"/>
      <c r="I56" s="161"/>
      <c r="J56" s="162"/>
      <c r="K56" s="162">
        <f>SUM(K57:K68)</f>
        <v>7476247</v>
      </c>
      <c r="L56" s="244"/>
      <c r="M56" s="244"/>
      <c r="N56" s="254"/>
      <c r="O56" s="162"/>
      <c r="P56" s="162">
        <f t="shared" ref="P56:W56" si="6">SUM(P57:P68)</f>
        <v>0</v>
      </c>
      <c r="Q56" s="162">
        <f t="shared" si="6"/>
        <v>0</v>
      </c>
      <c r="R56" s="162">
        <f t="shared" si="6"/>
        <v>3</v>
      </c>
      <c r="S56" s="162">
        <f t="shared" si="6"/>
        <v>75000</v>
      </c>
      <c r="T56" s="162">
        <f t="shared" si="6"/>
        <v>52</v>
      </c>
      <c r="U56" s="162">
        <f t="shared" si="6"/>
        <v>2057805</v>
      </c>
      <c r="V56" s="162">
        <f t="shared" si="6"/>
        <v>11</v>
      </c>
      <c r="W56" s="162">
        <f t="shared" si="6"/>
        <v>5343442</v>
      </c>
      <c r="X56" s="163"/>
      <c r="Y56" s="231"/>
      <c r="Z56" s="237">
        <f t="shared" si="1"/>
        <v>0</v>
      </c>
    </row>
    <row r="57" spans="1:26" s="141" customFormat="1" ht="24.75" x14ac:dyDescent="0.25">
      <c r="A57" s="186">
        <v>7.1</v>
      </c>
      <c r="B57" s="165" t="s">
        <v>421</v>
      </c>
      <c r="C57" s="110">
        <v>4520080</v>
      </c>
      <c r="D57" s="265" t="s">
        <v>43</v>
      </c>
      <c r="E57" s="114" t="s">
        <v>507</v>
      </c>
      <c r="F57" s="110"/>
      <c r="G57" s="81"/>
      <c r="H57" s="81">
        <v>1</v>
      </c>
      <c r="I57" s="151">
        <v>98227</v>
      </c>
      <c r="J57" s="24" t="s">
        <v>430</v>
      </c>
      <c r="K57" s="83">
        <v>2668442</v>
      </c>
      <c r="L57" s="246" t="str">
        <f t="shared" si="5"/>
        <v>3 квартал 2012</v>
      </c>
      <c r="M57" s="249"/>
      <c r="N57" s="255"/>
      <c r="O57" s="83"/>
      <c r="P57" s="83"/>
      <c r="Q57" s="83"/>
      <c r="R57" s="83"/>
      <c r="S57" s="83"/>
      <c r="T57" s="83">
        <v>1</v>
      </c>
      <c r="U57" s="83">
        <v>200000</v>
      </c>
      <c r="V57" s="83">
        <v>1</v>
      </c>
      <c r="W57" s="83">
        <v>2468442</v>
      </c>
      <c r="X57" s="167"/>
      <c r="Z57" s="237">
        <f t="shared" si="1"/>
        <v>0</v>
      </c>
    </row>
    <row r="58" spans="1:26" s="141" customFormat="1" ht="24.75" x14ac:dyDescent="0.25">
      <c r="A58" s="186">
        <v>7.2</v>
      </c>
      <c r="B58" s="186" t="s">
        <v>508</v>
      </c>
      <c r="C58" s="11">
        <v>4540224</v>
      </c>
      <c r="D58" s="265" t="s">
        <v>333</v>
      </c>
      <c r="E58" s="114"/>
      <c r="F58" s="110"/>
      <c r="G58" s="81"/>
      <c r="H58" s="81">
        <v>43</v>
      </c>
      <c r="I58" s="151">
        <v>98401</v>
      </c>
      <c r="J58" s="83" t="s">
        <v>429</v>
      </c>
      <c r="K58" s="83">
        <v>840000</v>
      </c>
      <c r="L58" s="246" t="str">
        <f t="shared" si="5"/>
        <v>3 квартал 2012</v>
      </c>
      <c r="M58" s="249"/>
      <c r="N58" s="255"/>
      <c r="O58" s="83"/>
      <c r="P58" s="83"/>
      <c r="Q58" s="83"/>
      <c r="R58" s="83"/>
      <c r="S58" s="83"/>
      <c r="T58" s="83">
        <v>43</v>
      </c>
      <c r="U58" s="27">
        <v>840000</v>
      </c>
      <c r="V58" s="83"/>
      <c r="W58" s="83"/>
      <c r="X58" s="167"/>
      <c r="Z58" s="237">
        <f t="shared" si="1"/>
        <v>0</v>
      </c>
    </row>
    <row r="59" spans="1:26" s="141" customFormat="1" x14ac:dyDescent="0.25">
      <c r="A59" s="186">
        <v>7.3</v>
      </c>
      <c r="B59" s="165" t="s">
        <v>406</v>
      </c>
      <c r="C59" s="110"/>
      <c r="D59" s="265" t="s">
        <v>44</v>
      </c>
      <c r="E59" s="114"/>
      <c r="F59" s="110"/>
      <c r="G59" s="81"/>
      <c r="H59" s="81">
        <v>1</v>
      </c>
      <c r="I59" s="151">
        <v>98401</v>
      </c>
      <c r="J59" s="83" t="s">
        <v>429</v>
      </c>
      <c r="K59" s="83">
        <v>50000</v>
      </c>
      <c r="L59" s="246" t="str">
        <f t="shared" si="5"/>
        <v>4 квартал 2012</v>
      </c>
      <c r="M59" s="245">
        <v>41244</v>
      </c>
      <c r="N59" s="255"/>
      <c r="O59" s="83"/>
      <c r="P59" s="83"/>
      <c r="Q59" s="83"/>
      <c r="R59" s="83"/>
      <c r="S59" s="83"/>
      <c r="T59" s="83"/>
      <c r="U59" s="83"/>
      <c r="V59" s="83">
        <v>1</v>
      </c>
      <c r="W59" s="83">
        <v>50000</v>
      </c>
      <c r="X59" s="167"/>
      <c r="Z59" s="237">
        <f t="shared" si="1"/>
        <v>0</v>
      </c>
    </row>
    <row r="60" spans="1:26" s="168" customFormat="1" ht="30" x14ac:dyDescent="0.25">
      <c r="A60" s="186">
        <v>7.4</v>
      </c>
      <c r="B60" s="186" t="s">
        <v>421</v>
      </c>
      <c r="C60" s="11">
        <v>4520080</v>
      </c>
      <c r="D60" s="265" t="s">
        <v>509</v>
      </c>
      <c r="E60" s="11"/>
      <c r="F60" s="110"/>
      <c r="G60" s="81"/>
      <c r="H60" s="81">
        <v>1</v>
      </c>
      <c r="I60" s="151">
        <v>98204</v>
      </c>
      <c r="J60" s="83" t="s">
        <v>431</v>
      </c>
      <c r="K60" s="24">
        <v>200000</v>
      </c>
      <c r="L60" s="246" t="str">
        <f t="shared" si="5"/>
        <v>3 квартал 2012</v>
      </c>
      <c r="M60" s="248"/>
      <c r="N60" s="257"/>
      <c r="O60" s="24"/>
      <c r="P60" s="83"/>
      <c r="Q60" s="83"/>
      <c r="R60" s="83"/>
      <c r="S60" s="83"/>
      <c r="T60" s="83">
        <v>1</v>
      </c>
      <c r="U60" s="83">
        <v>200000</v>
      </c>
      <c r="V60" s="83"/>
      <c r="W60" s="83"/>
      <c r="X60" s="167"/>
      <c r="Z60" s="237">
        <f t="shared" si="1"/>
        <v>0</v>
      </c>
    </row>
    <row r="61" spans="1:26" s="168" customFormat="1" ht="24.75" x14ac:dyDescent="0.25">
      <c r="A61" s="186">
        <v>7.5</v>
      </c>
      <c r="B61" s="186" t="s">
        <v>421</v>
      </c>
      <c r="C61" s="11">
        <v>4520080</v>
      </c>
      <c r="D61" s="265" t="s">
        <v>46</v>
      </c>
      <c r="E61" s="11"/>
      <c r="F61" s="110"/>
      <c r="G61" s="81"/>
      <c r="H61" s="81">
        <v>1</v>
      </c>
      <c r="I61" s="151">
        <v>98401</v>
      </c>
      <c r="J61" s="83" t="s">
        <v>429</v>
      </c>
      <c r="K61" s="24">
        <v>126277</v>
      </c>
      <c r="L61" s="246" t="str">
        <f t="shared" si="5"/>
        <v>3 квартал 2012</v>
      </c>
      <c r="M61" s="248"/>
      <c r="N61" s="257"/>
      <c r="O61" s="24"/>
      <c r="P61" s="83"/>
      <c r="Q61" s="83"/>
      <c r="R61" s="83"/>
      <c r="S61" s="83"/>
      <c r="T61" s="83">
        <v>1</v>
      </c>
      <c r="U61" s="83">
        <f>K61</f>
        <v>126277</v>
      </c>
      <c r="V61" s="83"/>
      <c r="W61" s="83"/>
      <c r="X61" s="167"/>
      <c r="Z61" s="237">
        <f t="shared" si="1"/>
        <v>0</v>
      </c>
    </row>
    <row r="62" spans="1:26" s="168" customFormat="1" ht="45" x14ac:dyDescent="0.25">
      <c r="A62" s="186">
        <v>7.6</v>
      </c>
      <c r="B62" s="186" t="s">
        <v>421</v>
      </c>
      <c r="C62" s="11">
        <v>4520080</v>
      </c>
      <c r="D62" s="265" t="s">
        <v>510</v>
      </c>
      <c r="E62" s="11"/>
      <c r="F62" s="110"/>
      <c r="G62" s="81"/>
      <c r="H62" s="81">
        <v>1</v>
      </c>
      <c r="I62" s="151">
        <v>98258</v>
      </c>
      <c r="J62" s="83" t="s">
        <v>435</v>
      </c>
      <c r="K62" s="24">
        <v>220000</v>
      </c>
      <c r="L62" s="246" t="str">
        <f t="shared" si="5"/>
        <v>4 квартал 2012</v>
      </c>
      <c r="M62" s="245">
        <v>41244</v>
      </c>
      <c r="N62" s="257"/>
      <c r="O62" s="24"/>
      <c r="P62" s="83"/>
      <c r="Q62" s="83"/>
      <c r="R62" s="83"/>
      <c r="S62" s="83"/>
      <c r="T62" s="83"/>
      <c r="U62" s="83"/>
      <c r="V62" s="83">
        <v>1</v>
      </c>
      <c r="W62" s="83">
        <v>220000</v>
      </c>
      <c r="X62" s="167"/>
      <c r="Z62" s="237">
        <f t="shared" si="1"/>
        <v>0</v>
      </c>
    </row>
    <row r="63" spans="1:26" s="168" customFormat="1" ht="24.75" x14ac:dyDescent="0.25">
      <c r="A63" s="186">
        <v>7.7</v>
      </c>
      <c r="B63" s="186" t="s">
        <v>421</v>
      </c>
      <c r="C63" s="11">
        <v>4520080</v>
      </c>
      <c r="D63" s="265" t="s">
        <v>48</v>
      </c>
      <c r="E63" s="11"/>
      <c r="F63" s="110"/>
      <c r="G63" s="81"/>
      <c r="H63" s="81">
        <v>1</v>
      </c>
      <c r="I63" s="151">
        <v>98254551</v>
      </c>
      <c r="J63" s="24" t="s">
        <v>442</v>
      </c>
      <c r="K63" s="24">
        <v>40000</v>
      </c>
      <c r="L63" s="246" t="str">
        <f t="shared" si="5"/>
        <v>4 квартал 2012</v>
      </c>
      <c r="M63" s="245">
        <v>41244</v>
      </c>
      <c r="N63" s="257"/>
      <c r="O63" s="24"/>
      <c r="P63" s="83"/>
      <c r="Q63" s="83"/>
      <c r="R63" s="83"/>
      <c r="S63" s="83"/>
      <c r="T63" s="83"/>
      <c r="U63" s="83"/>
      <c r="V63" s="83">
        <v>1</v>
      </c>
      <c r="W63" s="83">
        <v>40000</v>
      </c>
      <c r="X63" s="167"/>
      <c r="Z63" s="237">
        <f t="shared" si="1"/>
        <v>0</v>
      </c>
    </row>
    <row r="64" spans="1:26" s="168" customFormat="1" x14ac:dyDescent="0.25">
      <c r="A64" s="186">
        <v>7.8</v>
      </c>
      <c r="B64" s="186" t="s">
        <v>421</v>
      </c>
      <c r="C64" s="11">
        <v>4520080</v>
      </c>
      <c r="D64" s="265" t="s">
        <v>49</v>
      </c>
      <c r="E64" s="11" t="s">
        <v>469</v>
      </c>
      <c r="F64" s="110"/>
      <c r="G64" s="81"/>
      <c r="H64" s="242">
        <v>1</v>
      </c>
      <c r="I64" s="151">
        <v>98401</v>
      </c>
      <c r="J64" s="83" t="s">
        <v>429</v>
      </c>
      <c r="K64" s="24">
        <v>266528</v>
      </c>
      <c r="L64" s="246" t="str">
        <f t="shared" si="5"/>
        <v>3 квартал 2012</v>
      </c>
      <c r="M64" s="248"/>
      <c r="N64" s="257"/>
      <c r="O64" s="24"/>
      <c r="P64" s="83"/>
      <c r="Q64" s="83"/>
      <c r="R64" s="83"/>
      <c r="S64" s="83"/>
      <c r="T64" s="83">
        <v>1</v>
      </c>
      <c r="U64" s="83">
        <v>66528</v>
      </c>
      <c r="V64" s="83">
        <v>1</v>
      </c>
      <c r="W64" s="83">
        <v>200000</v>
      </c>
      <c r="X64" s="167"/>
      <c r="Z64" s="237">
        <f t="shared" si="1"/>
        <v>0</v>
      </c>
    </row>
    <row r="65" spans="1:26" s="168" customFormat="1" ht="24.75" x14ac:dyDescent="0.25">
      <c r="A65" s="186">
        <v>7.9</v>
      </c>
      <c r="B65" s="186" t="s">
        <v>421</v>
      </c>
      <c r="C65" s="11">
        <v>4520080</v>
      </c>
      <c r="D65" s="265" t="s">
        <v>50</v>
      </c>
      <c r="E65" s="11" t="s">
        <v>469</v>
      </c>
      <c r="F65" s="110"/>
      <c r="G65" s="81"/>
      <c r="H65" s="242">
        <v>1</v>
      </c>
      <c r="I65" s="151">
        <v>98406</v>
      </c>
      <c r="J65" s="24" t="s">
        <v>441</v>
      </c>
      <c r="K65" s="24">
        <v>240000</v>
      </c>
      <c r="L65" s="246" t="str">
        <f t="shared" si="5"/>
        <v>3 квартал 2012</v>
      </c>
      <c r="M65" s="248"/>
      <c r="N65" s="257"/>
      <c r="O65" s="24"/>
      <c r="P65" s="83"/>
      <c r="Q65" s="83"/>
      <c r="R65" s="83"/>
      <c r="S65" s="83"/>
      <c r="T65" s="83">
        <v>1</v>
      </c>
      <c r="U65" s="83">
        <v>150000</v>
      </c>
      <c r="V65" s="83">
        <v>1</v>
      </c>
      <c r="W65" s="83">
        <v>90000</v>
      </c>
      <c r="X65" s="167"/>
      <c r="Z65" s="237">
        <f t="shared" si="1"/>
        <v>0</v>
      </c>
    </row>
    <row r="66" spans="1:26" s="168" customFormat="1" ht="36.75" x14ac:dyDescent="0.25">
      <c r="A66" s="186">
        <v>7.1</v>
      </c>
      <c r="B66" s="186" t="s">
        <v>421</v>
      </c>
      <c r="C66" s="11">
        <v>4520080</v>
      </c>
      <c r="D66" s="265" t="s">
        <v>51</v>
      </c>
      <c r="E66" s="11"/>
      <c r="F66" s="110"/>
      <c r="G66" s="81"/>
      <c r="H66" s="81">
        <v>1</v>
      </c>
      <c r="I66" s="169">
        <v>98409</v>
      </c>
      <c r="J66" s="83" t="s">
        <v>447</v>
      </c>
      <c r="K66" s="24">
        <v>200000</v>
      </c>
      <c r="L66" s="246" t="str">
        <f t="shared" si="5"/>
        <v>4 квартал 2012</v>
      </c>
      <c r="M66" s="245">
        <v>41244</v>
      </c>
      <c r="N66" s="257"/>
      <c r="O66" s="24"/>
      <c r="P66" s="83"/>
      <c r="Q66" s="83"/>
      <c r="R66" s="83"/>
      <c r="S66" s="83"/>
      <c r="T66" s="83"/>
      <c r="U66" s="83"/>
      <c r="V66" s="83">
        <v>1</v>
      </c>
      <c r="W66" s="83">
        <v>200000</v>
      </c>
      <c r="X66" s="167"/>
      <c r="Z66" s="237">
        <f t="shared" si="1"/>
        <v>0</v>
      </c>
    </row>
    <row r="67" spans="1:26" s="168" customFormat="1" x14ac:dyDescent="0.25">
      <c r="A67" s="186">
        <v>7.11</v>
      </c>
      <c r="B67" s="186"/>
      <c r="C67" s="11"/>
      <c r="D67" s="265" t="s">
        <v>353</v>
      </c>
      <c r="E67" s="11"/>
      <c r="F67" s="11"/>
      <c r="G67" s="81"/>
      <c r="H67" s="81">
        <v>9</v>
      </c>
      <c r="I67" s="151">
        <v>98401</v>
      </c>
      <c r="J67" s="83" t="s">
        <v>429</v>
      </c>
      <c r="K67" s="24">
        <v>225000</v>
      </c>
      <c r="L67" s="246" t="str">
        <f t="shared" si="5"/>
        <v>2 квартал 2012</v>
      </c>
      <c r="M67" s="248"/>
      <c r="N67" s="257"/>
      <c r="O67" s="24"/>
      <c r="P67" s="83"/>
      <c r="Q67" s="83"/>
      <c r="R67" s="83">
        <v>3</v>
      </c>
      <c r="S67" s="83">
        <v>75000</v>
      </c>
      <c r="T67" s="83">
        <v>3</v>
      </c>
      <c r="U67" s="83">
        <v>75000</v>
      </c>
      <c r="V67" s="83">
        <v>3</v>
      </c>
      <c r="W67" s="83">
        <v>75000</v>
      </c>
      <c r="X67" s="167"/>
      <c r="Z67" s="237">
        <f t="shared" si="1"/>
        <v>0</v>
      </c>
    </row>
    <row r="68" spans="1:26" s="168" customFormat="1" ht="36.75" x14ac:dyDescent="0.25">
      <c r="A68" s="186">
        <v>7.12</v>
      </c>
      <c r="B68" s="186" t="s">
        <v>421</v>
      </c>
      <c r="C68" s="11">
        <v>4520080</v>
      </c>
      <c r="D68" s="265" t="s">
        <v>360</v>
      </c>
      <c r="E68" s="11"/>
      <c r="F68" s="110"/>
      <c r="G68" s="81"/>
      <c r="H68" s="81">
        <v>1</v>
      </c>
      <c r="I68" s="151">
        <v>98401</v>
      </c>
      <c r="J68" s="83" t="s">
        <v>429</v>
      </c>
      <c r="K68" s="24">
        <v>2400000</v>
      </c>
      <c r="L68" s="246" t="str">
        <f t="shared" si="5"/>
        <v>3 квартал 2012</v>
      </c>
      <c r="M68" s="248"/>
      <c r="N68" s="257"/>
      <c r="O68" s="24"/>
      <c r="P68" s="83"/>
      <c r="Q68" s="83"/>
      <c r="R68" s="83"/>
      <c r="S68" s="83"/>
      <c r="T68" s="83">
        <v>1</v>
      </c>
      <c r="U68" s="83">
        <v>400000</v>
      </c>
      <c r="V68" s="83">
        <v>1</v>
      </c>
      <c r="W68" s="83">
        <v>2000000</v>
      </c>
      <c r="X68" s="167"/>
      <c r="Z68" s="237">
        <f t="shared" si="1"/>
        <v>0</v>
      </c>
    </row>
    <row r="69" spans="1:26" s="230" customFormat="1" ht="24" x14ac:dyDescent="0.2">
      <c r="A69" s="232">
        <v>8</v>
      </c>
      <c r="B69" s="156"/>
      <c r="C69" s="157"/>
      <c r="D69" s="264" t="s">
        <v>52</v>
      </c>
      <c r="E69" s="159"/>
      <c r="F69" s="159"/>
      <c r="G69" s="160"/>
      <c r="H69" s="160"/>
      <c r="I69" s="161"/>
      <c r="J69" s="162"/>
      <c r="K69" s="162">
        <f>SUM(K70:K82)</f>
        <v>408000</v>
      </c>
      <c r="L69" s="244"/>
      <c r="M69" s="244"/>
      <c r="N69" s="254"/>
      <c r="O69" s="162"/>
      <c r="P69" s="162">
        <f t="shared" ref="P69:W69" si="7">SUM(P70:P82)</f>
        <v>0</v>
      </c>
      <c r="Q69" s="162">
        <f t="shared" si="7"/>
        <v>0</v>
      </c>
      <c r="R69" s="162">
        <f t="shared" si="7"/>
        <v>9</v>
      </c>
      <c r="S69" s="162">
        <f t="shared" si="7"/>
        <v>127000</v>
      </c>
      <c r="T69" s="162">
        <f t="shared" si="7"/>
        <v>50</v>
      </c>
      <c r="U69" s="162">
        <f t="shared" si="7"/>
        <v>80000</v>
      </c>
      <c r="V69" s="162">
        <f t="shared" si="7"/>
        <v>613</v>
      </c>
      <c r="W69" s="162">
        <f t="shared" si="7"/>
        <v>201000</v>
      </c>
      <c r="X69" s="163"/>
      <c r="Y69" s="231"/>
      <c r="Z69" s="237">
        <f t="shared" si="1"/>
        <v>0</v>
      </c>
    </row>
    <row r="70" spans="1:26" s="2" customFormat="1" ht="48.75" x14ac:dyDescent="0.25">
      <c r="A70" s="186">
        <v>8.1</v>
      </c>
      <c r="B70" s="165" t="s">
        <v>422</v>
      </c>
      <c r="C70" s="110">
        <v>7430000</v>
      </c>
      <c r="D70" s="265" t="s">
        <v>53</v>
      </c>
      <c r="E70" s="114"/>
      <c r="F70" s="110">
        <v>796</v>
      </c>
      <c r="G70" s="129" t="s">
        <v>24</v>
      </c>
      <c r="H70" s="129">
        <v>1</v>
      </c>
      <c r="I70" s="151">
        <v>98401</v>
      </c>
      <c r="J70" s="83" t="s">
        <v>429</v>
      </c>
      <c r="K70" s="24">
        <v>40000</v>
      </c>
      <c r="L70" s="246" t="str">
        <f t="shared" si="5"/>
        <v>4 квартал 2012</v>
      </c>
      <c r="M70" s="245">
        <v>41244</v>
      </c>
      <c r="N70" s="257"/>
      <c r="O70" s="24"/>
      <c r="P70" s="24"/>
      <c r="Q70" s="24"/>
      <c r="R70" s="83"/>
      <c r="S70" s="83"/>
      <c r="T70" s="83"/>
      <c r="U70" s="24"/>
      <c r="V70" s="83">
        <v>1</v>
      </c>
      <c r="W70" s="83">
        <v>40000</v>
      </c>
      <c r="X70" s="167"/>
      <c r="Z70" s="237">
        <f t="shared" si="1"/>
        <v>0</v>
      </c>
    </row>
    <row r="71" spans="1:26" s="141" customFormat="1" ht="24.75" x14ac:dyDescent="0.25">
      <c r="A71" s="186">
        <v>8.1999999999999993</v>
      </c>
      <c r="B71" s="165" t="s">
        <v>422</v>
      </c>
      <c r="C71" s="110">
        <v>7430000</v>
      </c>
      <c r="D71" s="265" t="s">
        <v>54</v>
      </c>
      <c r="E71" s="114"/>
      <c r="F71" s="110">
        <v>796</v>
      </c>
      <c r="G71" s="129" t="s">
        <v>24</v>
      </c>
      <c r="H71" s="129">
        <v>10</v>
      </c>
      <c r="I71" s="151">
        <v>98401</v>
      </c>
      <c r="J71" s="83" t="s">
        <v>429</v>
      </c>
      <c r="K71" s="24">
        <v>5000</v>
      </c>
      <c r="L71" s="246" t="str">
        <f t="shared" si="5"/>
        <v>4 квартал 2012</v>
      </c>
      <c r="M71" s="245">
        <v>41244</v>
      </c>
      <c r="N71" s="257"/>
      <c r="O71" s="24"/>
      <c r="P71" s="83"/>
      <c r="Q71" s="83"/>
      <c r="R71" s="24"/>
      <c r="S71" s="24"/>
      <c r="T71" s="24"/>
      <c r="U71" s="24"/>
      <c r="V71" s="83">
        <v>10</v>
      </c>
      <c r="W71" s="83">
        <v>5000</v>
      </c>
      <c r="X71" s="167"/>
      <c r="Z71" s="237">
        <f t="shared" si="1"/>
        <v>0</v>
      </c>
    </row>
    <row r="72" spans="1:26" s="141" customFormat="1" ht="36.75" x14ac:dyDescent="0.25">
      <c r="A72" s="186">
        <v>8.3000000000000007</v>
      </c>
      <c r="B72" s="165" t="s">
        <v>422</v>
      </c>
      <c r="C72" s="110">
        <v>7430000</v>
      </c>
      <c r="D72" s="265" t="s">
        <v>55</v>
      </c>
      <c r="E72" s="114"/>
      <c r="F72" s="110">
        <v>796</v>
      </c>
      <c r="G72" s="129" t="s">
        <v>24</v>
      </c>
      <c r="H72" s="129">
        <v>1</v>
      </c>
      <c r="I72" s="151">
        <v>98401</v>
      </c>
      <c r="J72" s="83" t="s">
        <v>429</v>
      </c>
      <c r="K72" s="24">
        <v>76000</v>
      </c>
      <c r="L72" s="246" t="str">
        <f t="shared" si="5"/>
        <v>2 квартал 2012</v>
      </c>
      <c r="M72" s="245">
        <v>41061</v>
      </c>
      <c r="N72" s="257"/>
      <c r="O72" s="24"/>
      <c r="P72" s="83"/>
      <c r="Q72" s="83"/>
      <c r="R72" s="24">
        <v>1</v>
      </c>
      <c r="S72" s="24">
        <v>26000</v>
      </c>
      <c r="T72" s="83"/>
      <c r="U72" s="83"/>
      <c r="V72" s="83">
        <v>1</v>
      </c>
      <c r="W72" s="83">
        <v>50000</v>
      </c>
      <c r="X72" s="167"/>
      <c r="Z72" s="237">
        <f t="shared" si="1"/>
        <v>0</v>
      </c>
    </row>
    <row r="73" spans="1:26" s="141" customFormat="1" ht="24.75" x14ac:dyDescent="0.25">
      <c r="A73" s="186">
        <v>8.4</v>
      </c>
      <c r="B73" s="165" t="s">
        <v>422</v>
      </c>
      <c r="C73" s="110">
        <v>7430000</v>
      </c>
      <c r="D73" s="265" t="s">
        <v>56</v>
      </c>
      <c r="E73" s="114"/>
      <c r="F73" s="110">
        <v>796</v>
      </c>
      <c r="G73" s="129" t="s">
        <v>24</v>
      </c>
      <c r="H73" s="129">
        <v>1</v>
      </c>
      <c r="I73" s="151">
        <v>98401</v>
      </c>
      <c r="J73" s="83" t="s">
        <v>429</v>
      </c>
      <c r="K73" s="24">
        <v>20000</v>
      </c>
      <c r="L73" s="246" t="str">
        <f t="shared" si="5"/>
        <v>2 квартал 2012</v>
      </c>
      <c r="M73" s="245">
        <v>41062</v>
      </c>
      <c r="N73" s="257"/>
      <c r="O73" s="24"/>
      <c r="P73" s="83"/>
      <c r="Q73" s="83"/>
      <c r="R73" s="24">
        <v>1</v>
      </c>
      <c r="S73" s="24">
        <v>20000</v>
      </c>
      <c r="T73" s="83"/>
      <c r="U73" s="83"/>
      <c r="V73" s="83"/>
      <c r="W73" s="83"/>
      <c r="X73" s="167"/>
      <c r="Z73" s="237">
        <f t="shared" si="1"/>
        <v>0</v>
      </c>
    </row>
    <row r="74" spans="1:26" s="141" customFormat="1" ht="24.75" x14ac:dyDescent="0.25">
      <c r="A74" s="186">
        <v>8.5</v>
      </c>
      <c r="B74" s="165" t="s">
        <v>422</v>
      </c>
      <c r="C74" s="110">
        <v>7430000</v>
      </c>
      <c r="D74" s="265" t="s">
        <v>57</v>
      </c>
      <c r="E74" s="114"/>
      <c r="F74" s="110">
        <v>796</v>
      </c>
      <c r="G74" s="129" t="s">
        <v>24</v>
      </c>
      <c r="H74" s="129">
        <v>4</v>
      </c>
      <c r="I74" s="151">
        <v>98401</v>
      </c>
      <c r="J74" s="83" t="s">
        <v>429</v>
      </c>
      <c r="K74" s="24">
        <v>60000</v>
      </c>
      <c r="L74" s="246" t="str">
        <f t="shared" si="5"/>
        <v>2 квартал 2012</v>
      </c>
      <c r="M74" s="245">
        <v>41063</v>
      </c>
      <c r="N74" s="257"/>
      <c r="O74" s="24"/>
      <c r="P74" s="83"/>
      <c r="Q74" s="83"/>
      <c r="R74" s="24">
        <v>4</v>
      </c>
      <c r="S74" s="24">
        <v>60000</v>
      </c>
      <c r="T74" s="83"/>
      <c r="U74" s="83"/>
      <c r="V74" s="83"/>
      <c r="W74" s="83"/>
      <c r="X74" s="167"/>
      <c r="Z74" s="237">
        <f t="shared" si="1"/>
        <v>0</v>
      </c>
    </row>
    <row r="75" spans="1:26" s="141" customFormat="1" ht="24.75" x14ac:dyDescent="0.25">
      <c r="A75" s="186">
        <v>8.6</v>
      </c>
      <c r="B75" s="165" t="s">
        <v>422</v>
      </c>
      <c r="C75" s="110">
        <v>7430000</v>
      </c>
      <c r="D75" s="265" t="s">
        <v>58</v>
      </c>
      <c r="E75" s="114"/>
      <c r="F75" s="110">
        <v>796</v>
      </c>
      <c r="G75" s="129" t="s">
        <v>24</v>
      </c>
      <c r="H75" s="129">
        <v>3</v>
      </c>
      <c r="I75" s="151">
        <v>98401</v>
      </c>
      <c r="J75" s="83" t="s">
        <v>429</v>
      </c>
      <c r="K75" s="24">
        <v>21000</v>
      </c>
      <c r="L75" s="246" t="str">
        <f t="shared" si="5"/>
        <v>2 квартал 2012</v>
      </c>
      <c r="M75" s="245">
        <v>41064</v>
      </c>
      <c r="N75" s="257"/>
      <c r="O75" s="24"/>
      <c r="P75" s="83"/>
      <c r="Q75" s="83"/>
      <c r="R75" s="24">
        <v>3</v>
      </c>
      <c r="S75" s="24">
        <v>21000</v>
      </c>
      <c r="T75" s="83"/>
      <c r="U75" s="83"/>
      <c r="V75" s="83"/>
      <c r="W75" s="83"/>
      <c r="X75" s="167"/>
      <c r="Z75" s="237">
        <f t="shared" si="1"/>
        <v>0</v>
      </c>
    </row>
    <row r="76" spans="1:26" s="141" customFormat="1" ht="24.75" x14ac:dyDescent="0.25">
      <c r="A76" s="186">
        <v>8.6999999999999993</v>
      </c>
      <c r="B76" s="165" t="s">
        <v>423</v>
      </c>
      <c r="C76" s="110">
        <v>7430000</v>
      </c>
      <c r="D76" s="265" t="s">
        <v>59</v>
      </c>
      <c r="E76" s="114"/>
      <c r="F76" s="110">
        <v>796</v>
      </c>
      <c r="G76" s="129" t="s">
        <v>24</v>
      </c>
      <c r="H76" s="129">
        <v>150</v>
      </c>
      <c r="I76" s="151">
        <v>98401</v>
      </c>
      <c r="J76" s="83" t="s">
        <v>429</v>
      </c>
      <c r="K76" s="24">
        <v>27000</v>
      </c>
      <c r="L76" s="246" t="str">
        <f t="shared" si="5"/>
        <v>4 квартал 2012</v>
      </c>
      <c r="M76" s="245">
        <v>41244</v>
      </c>
      <c r="N76" s="257"/>
      <c r="O76" s="24"/>
      <c r="P76" s="83"/>
      <c r="Q76" s="83"/>
      <c r="R76" s="83"/>
      <c r="S76" s="83"/>
      <c r="T76" s="83"/>
      <c r="U76" s="83"/>
      <c r="V76" s="24">
        <v>150</v>
      </c>
      <c r="W76" s="24">
        <v>27000</v>
      </c>
      <c r="X76" s="167"/>
      <c r="Z76" s="237">
        <f t="shared" si="1"/>
        <v>0</v>
      </c>
    </row>
    <row r="77" spans="1:26" s="141" customFormat="1" x14ac:dyDescent="0.25">
      <c r="A77" s="186">
        <v>8.8000000000000007</v>
      </c>
      <c r="B77" s="165" t="s">
        <v>423</v>
      </c>
      <c r="C77" s="110">
        <v>7430000</v>
      </c>
      <c r="D77" s="265" t="s">
        <v>60</v>
      </c>
      <c r="E77" s="114"/>
      <c r="F77" s="110">
        <v>796</v>
      </c>
      <c r="G77" s="129" t="s">
        <v>24</v>
      </c>
      <c r="H77" s="129">
        <v>200</v>
      </c>
      <c r="I77" s="151">
        <v>98401</v>
      </c>
      <c r="J77" s="83" t="s">
        <v>429</v>
      </c>
      <c r="K77" s="24">
        <v>12000</v>
      </c>
      <c r="L77" s="246" t="str">
        <f t="shared" si="5"/>
        <v>4 квартал 2012</v>
      </c>
      <c r="M77" s="245">
        <v>41244</v>
      </c>
      <c r="N77" s="257"/>
      <c r="O77" s="24"/>
      <c r="P77" s="83"/>
      <c r="Q77" s="83"/>
      <c r="R77" s="83"/>
      <c r="S77" s="83"/>
      <c r="T77" s="83"/>
      <c r="U77" s="83"/>
      <c r="V77" s="24">
        <v>200</v>
      </c>
      <c r="W77" s="24">
        <v>12000</v>
      </c>
      <c r="X77" s="167"/>
      <c r="Z77" s="237">
        <f t="shared" si="1"/>
        <v>0</v>
      </c>
    </row>
    <row r="78" spans="1:26" s="141" customFormat="1" ht="24.75" x14ac:dyDescent="0.25">
      <c r="A78" s="186">
        <v>8.9</v>
      </c>
      <c r="B78" s="165" t="s">
        <v>423</v>
      </c>
      <c r="C78" s="110">
        <v>7430000</v>
      </c>
      <c r="D78" s="265" t="s">
        <v>61</v>
      </c>
      <c r="E78" s="114"/>
      <c r="F78" s="110">
        <v>796</v>
      </c>
      <c r="G78" s="129" t="s">
        <v>24</v>
      </c>
      <c r="H78" s="129">
        <v>50</v>
      </c>
      <c r="I78" s="151">
        <v>98401</v>
      </c>
      <c r="J78" s="83" t="s">
        <v>429</v>
      </c>
      <c r="K78" s="24">
        <v>6000</v>
      </c>
      <c r="L78" s="246" t="str">
        <f t="shared" si="5"/>
        <v>4 квартал 2012</v>
      </c>
      <c r="M78" s="245">
        <v>41244</v>
      </c>
      <c r="N78" s="257"/>
      <c r="O78" s="24"/>
      <c r="P78" s="83"/>
      <c r="Q78" s="83"/>
      <c r="R78" s="83"/>
      <c r="S78" s="83"/>
      <c r="T78" s="83"/>
      <c r="U78" s="83"/>
      <c r="V78" s="24">
        <v>50</v>
      </c>
      <c r="W78" s="24">
        <v>6000</v>
      </c>
      <c r="X78" s="167"/>
      <c r="Z78" s="237">
        <f t="shared" si="1"/>
        <v>0</v>
      </c>
    </row>
    <row r="79" spans="1:26" s="141" customFormat="1" ht="24.75" x14ac:dyDescent="0.25">
      <c r="A79" s="186">
        <v>8.1</v>
      </c>
      <c r="B79" s="165" t="s">
        <v>423</v>
      </c>
      <c r="C79" s="110">
        <v>7430000</v>
      </c>
      <c r="D79" s="265" t="s">
        <v>62</v>
      </c>
      <c r="E79" s="114"/>
      <c r="F79" s="110">
        <v>796</v>
      </c>
      <c r="G79" s="129" t="s">
        <v>24</v>
      </c>
      <c r="H79" s="129">
        <v>100</v>
      </c>
      <c r="I79" s="151">
        <v>98401</v>
      </c>
      <c r="J79" s="83" t="s">
        <v>429</v>
      </c>
      <c r="K79" s="24">
        <v>5000</v>
      </c>
      <c r="L79" s="246" t="str">
        <f t="shared" si="5"/>
        <v>4 квартал 2012</v>
      </c>
      <c r="M79" s="245">
        <v>41244</v>
      </c>
      <c r="N79" s="257"/>
      <c r="O79" s="24"/>
      <c r="P79" s="83"/>
      <c r="Q79" s="83"/>
      <c r="R79" s="83"/>
      <c r="S79" s="83"/>
      <c r="T79" s="83"/>
      <c r="U79" s="83"/>
      <c r="V79" s="24">
        <v>100</v>
      </c>
      <c r="W79" s="24">
        <v>5000</v>
      </c>
      <c r="X79" s="167"/>
      <c r="Z79" s="237">
        <f t="shared" si="1"/>
        <v>0</v>
      </c>
    </row>
    <row r="80" spans="1:26" s="141" customFormat="1" ht="24.75" x14ac:dyDescent="0.25">
      <c r="A80" s="186">
        <v>8.11</v>
      </c>
      <c r="B80" s="165" t="s">
        <v>423</v>
      </c>
      <c r="C80" s="110">
        <v>7430000</v>
      </c>
      <c r="D80" s="265" t="s">
        <v>63</v>
      </c>
      <c r="E80" s="114"/>
      <c r="F80" s="110">
        <v>796</v>
      </c>
      <c r="G80" s="129" t="s">
        <v>24</v>
      </c>
      <c r="H80" s="129">
        <v>100</v>
      </c>
      <c r="I80" s="151">
        <v>98401</v>
      </c>
      <c r="J80" s="83" t="s">
        <v>429</v>
      </c>
      <c r="K80" s="24">
        <v>12000</v>
      </c>
      <c r="L80" s="246" t="str">
        <f t="shared" si="5"/>
        <v>4 квартал 2012</v>
      </c>
      <c r="M80" s="245">
        <v>41244</v>
      </c>
      <c r="N80" s="257"/>
      <c r="O80" s="24"/>
      <c r="P80" s="83"/>
      <c r="Q80" s="83"/>
      <c r="R80" s="83"/>
      <c r="S80" s="83"/>
      <c r="T80" s="83"/>
      <c r="U80" s="83"/>
      <c r="V80" s="24">
        <v>100</v>
      </c>
      <c r="W80" s="24">
        <v>12000</v>
      </c>
      <c r="X80" s="167"/>
      <c r="Z80" s="237">
        <f t="shared" si="1"/>
        <v>0</v>
      </c>
    </row>
    <row r="81" spans="1:26" s="141" customFormat="1" x14ac:dyDescent="0.25">
      <c r="A81" s="186">
        <v>8.1199999999999992</v>
      </c>
      <c r="B81" s="165"/>
      <c r="C81" s="110"/>
      <c r="D81" s="265" t="s">
        <v>64</v>
      </c>
      <c r="E81" s="114"/>
      <c r="F81" s="110">
        <v>796</v>
      </c>
      <c r="G81" s="129" t="s">
        <v>24</v>
      </c>
      <c r="H81" s="129">
        <v>1</v>
      </c>
      <c r="I81" s="151">
        <v>98401</v>
      </c>
      <c r="J81" s="83" t="s">
        <v>429</v>
      </c>
      <c r="K81" s="24">
        <v>6000</v>
      </c>
      <c r="L81" s="246" t="str">
        <f t="shared" si="5"/>
        <v>4 квартал 2012</v>
      </c>
      <c r="M81" s="245">
        <v>41244</v>
      </c>
      <c r="N81" s="257"/>
      <c r="O81" s="24"/>
      <c r="P81" s="83"/>
      <c r="Q81" s="83"/>
      <c r="R81" s="83"/>
      <c r="S81" s="83"/>
      <c r="T81" s="83"/>
      <c r="U81" s="83"/>
      <c r="V81" s="24">
        <v>1</v>
      </c>
      <c r="W81" s="24">
        <v>6000</v>
      </c>
      <c r="X81" s="167"/>
      <c r="Z81" s="237">
        <f t="shared" si="1"/>
        <v>0</v>
      </c>
    </row>
    <row r="82" spans="1:26" s="141" customFormat="1" x14ac:dyDescent="0.25">
      <c r="A82" s="186">
        <v>8.1300000000000008</v>
      </c>
      <c r="B82" s="165"/>
      <c r="C82" s="110"/>
      <c r="D82" s="265" t="s">
        <v>65</v>
      </c>
      <c r="E82" s="114"/>
      <c r="F82" s="110">
        <v>796</v>
      </c>
      <c r="G82" s="129" t="s">
        <v>24</v>
      </c>
      <c r="H82" s="129"/>
      <c r="I82" s="151">
        <v>98401</v>
      </c>
      <c r="J82" s="83" t="s">
        <v>429</v>
      </c>
      <c r="K82" s="24">
        <v>118000</v>
      </c>
      <c r="L82" s="246" t="str">
        <f t="shared" si="5"/>
        <v>3 квартал 2012</v>
      </c>
      <c r="M82" s="245">
        <v>41153</v>
      </c>
      <c r="N82" s="257"/>
      <c r="O82" s="24"/>
      <c r="P82" s="83"/>
      <c r="Q82" s="83"/>
      <c r="R82" s="83"/>
      <c r="S82" s="83"/>
      <c r="T82" s="83">
        <v>50</v>
      </c>
      <c r="U82" s="83">
        <v>80000</v>
      </c>
      <c r="V82" s="24"/>
      <c r="W82" s="24">
        <v>38000</v>
      </c>
      <c r="X82" s="167"/>
      <c r="Z82" s="237">
        <f t="shared" si="1"/>
        <v>0</v>
      </c>
    </row>
    <row r="83" spans="1:26" s="230" customFormat="1" ht="24" x14ac:dyDescent="0.2">
      <c r="A83" s="232">
        <v>9</v>
      </c>
      <c r="B83" s="156"/>
      <c r="C83" s="157"/>
      <c r="D83" s="264" t="s">
        <v>493</v>
      </c>
      <c r="E83" s="159"/>
      <c r="F83" s="159"/>
      <c r="G83" s="160"/>
      <c r="H83" s="162">
        <f>SUM(H84:H91)</f>
        <v>238</v>
      </c>
      <c r="I83" s="161"/>
      <c r="J83" s="162"/>
      <c r="K83" s="162">
        <f>SUM(K84:K91)</f>
        <v>932000</v>
      </c>
      <c r="L83" s="244"/>
      <c r="M83" s="244"/>
      <c r="N83" s="254"/>
      <c r="O83" s="162"/>
      <c r="P83" s="162">
        <f t="shared" ref="P83:W83" si="8">SUM(P84:P91)</f>
        <v>50</v>
      </c>
      <c r="Q83" s="162">
        <f t="shared" si="8"/>
        <v>160000</v>
      </c>
      <c r="R83" s="162">
        <f t="shared" si="8"/>
        <v>68</v>
      </c>
      <c r="S83" s="162">
        <f t="shared" si="8"/>
        <v>352000</v>
      </c>
      <c r="T83" s="162">
        <f t="shared" si="8"/>
        <v>57</v>
      </c>
      <c r="U83" s="162">
        <f t="shared" si="8"/>
        <v>189000</v>
      </c>
      <c r="V83" s="162">
        <f t="shared" si="8"/>
        <v>63</v>
      </c>
      <c r="W83" s="162">
        <f t="shared" si="8"/>
        <v>231000</v>
      </c>
      <c r="X83" s="163"/>
      <c r="Y83" s="231"/>
      <c r="Z83" s="237">
        <f t="shared" si="1"/>
        <v>0</v>
      </c>
    </row>
    <row r="84" spans="1:26" s="141" customFormat="1" x14ac:dyDescent="0.25">
      <c r="A84" s="186">
        <v>9.1</v>
      </c>
      <c r="B84" s="165" t="s">
        <v>422</v>
      </c>
      <c r="C84" s="110">
        <v>2212000</v>
      </c>
      <c r="D84" s="267" t="s">
        <v>67</v>
      </c>
      <c r="E84" s="11"/>
      <c r="F84" s="110"/>
      <c r="G84" s="81"/>
      <c r="H84" s="129">
        <v>11</v>
      </c>
      <c r="I84" s="151">
        <v>98401</v>
      </c>
      <c r="J84" s="83" t="s">
        <v>429</v>
      </c>
      <c r="K84" s="24">
        <v>82000</v>
      </c>
      <c r="L84" s="246" t="str">
        <f t="shared" si="5"/>
        <v>1 квартал 2012</v>
      </c>
      <c r="M84" s="245">
        <v>41244</v>
      </c>
      <c r="N84" s="257"/>
      <c r="O84" s="24"/>
      <c r="P84" s="83">
        <v>2</v>
      </c>
      <c r="Q84" s="83">
        <v>16000</v>
      </c>
      <c r="R84" s="83">
        <v>3</v>
      </c>
      <c r="S84" s="83">
        <v>24000</v>
      </c>
      <c r="T84" s="83">
        <v>3</v>
      </c>
      <c r="U84" s="83">
        <v>24000</v>
      </c>
      <c r="V84" s="83">
        <v>3</v>
      </c>
      <c r="W84" s="83">
        <v>18000</v>
      </c>
      <c r="X84" s="167"/>
      <c r="Z84" s="237">
        <f t="shared" si="1"/>
        <v>0</v>
      </c>
    </row>
    <row r="85" spans="1:26" s="141" customFormat="1" x14ac:dyDescent="0.25">
      <c r="A85" s="186">
        <v>9.1999999999999993</v>
      </c>
      <c r="B85" s="165" t="s">
        <v>422</v>
      </c>
      <c r="C85" s="110">
        <v>2212000</v>
      </c>
      <c r="D85" s="267" t="s">
        <v>68</v>
      </c>
      <c r="E85" s="11"/>
      <c r="F85" s="110"/>
      <c r="G85" s="81"/>
      <c r="H85" s="129">
        <v>17</v>
      </c>
      <c r="I85" s="151">
        <v>98401</v>
      </c>
      <c r="J85" s="83" t="s">
        <v>429</v>
      </c>
      <c r="K85" s="24">
        <v>136000</v>
      </c>
      <c r="L85" s="246" t="str">
        <f t="shared" si="5"/>
        <v>1 квартал 2012</v>
      </c>
      <c r="M85" s="245">
        <v>41244</v>
      </c>
      <c r="N85" s="257"/>
      <c r="O85" s="24"/>
      <c r="P85" s="83">
        <v>2</v>
      </c>
      <c r="Q85" s="83">
        <v>16000</v>
      </c>
      <c r="R85" s="83">
        <v>6</v>
      </c>
      <c r="S85" s="83">
        <v>48000</v>
      </c>
      <c r="T85" s="83">
        <v>3</v>
      </c>
      <c r="U85" s="83">
        <v>24000</v>
      </c>
      <c r="V85" s="83">
        <v>6</v>
      </c>
      <c r="W85" s="83">
        <v>48000</v>
      </c>
      <c r="X85" s="167"/>
      <c r="Z85" s="237">
        <f t="shared" si="1"/>
        <v>0</v>
      </c>
    </row>
    <row r="86" spans="1:26" s="141" customFormat="1" x14ac:dyDescent="0.25">
      <c r="A86" s="186">
        <v>9.3000000000000007</v>
      </c>
      <c r="B86" s="165" t="s">
        <v>424</v>
      </c>
      <c r="C86" s="110">
        <v>2212000</v>
      </c>
      <c r="D86" s="267" t="s">
        <v>69</v>
      </c>
      <c r="E86" s="11"/>
      <c r="F86" s="110"/>
      <c r="G86" s="81"/>
      <c r="H86" s="129">
        <v>17</v>
      </c>
      <c r="I86" s="151">
        <v>98401</v>
      </c>
      <c r="J86" s="83" t="s">
        <v>429</v>
      </c>
      <c r="K86" s="24">
        <v>136000</v>
      </c>
      <c r="L86" s="246" t="str">
        <f t="shared" si="5"/>
        <v>1 квартал 2012</v>
      </c>
      <c r="M86" s="245">
        <v>41244</v>
      </c>
      <c r="N86" s="257"/>
      <c r="O86" s="24"/>
      <c r="P86" s="83">
        <v>2</v>
      </c>
      <c r="Q86" s="83">
        <v>16000</v>
      </c>
      <c r="R86" s="83">
        <v>6</v>
      </c>
      <c r="S86" s="83">
        <v>48000</v>
      </c>
      <c r="T86" s="83">
        <v>3</v>
      </c>
      <c r="U86" s="83">
        <v>24000</v>
      </c>
      <c r="V86" s="83">
        <v>6</v>
      </c>
      <c r="W86" s="83">
        <v>48000</v>
      </c>
      <c r="X86" s="167"/>
      <c r="Z86" s="237">
        <f t="shared" si="1"/>
        <v>0</v>
      </c>
    </row>
    <row r="87" spans="1:26" s="141" customFormat="1" x14ac:dyDescent="0.25">
      <c r="A87" s="186">
        <v>9.4</v>
      </c>
      <c r="B87" s="165" t="s">
        <v>424</v>
      </c>
      <c r="C87" s="110">
        <v>2212000</v>
      </c>
      <c r="D87" s="267" t="s">
        <v>70</v>
      </c>
      <c r="E87" s="11"/>
      <c r="F87" s="110"/>
      <c r="G87" s="81"/>
      <c r="H87" s="129">
        <v>11</v>
      </c>
      <c r="I87" s="151">
        <v>98401</v>
      </c>
      <c r="J87" s="83" t="s">
        <v>429</v>
      </c>
      <c r="K87" s="24">
        <v>99000</v>
      </c>
      <c r="L87" s="246" t="str">
        <f t="shared" si="5"/>
        <v>1 квартал 2012</v>
      </c>
      <c r="M87" s="245">
        <v>41244</v>
      </c>
      <c r="N87" s="257"/>
      <c r="O87" s="24"/>
      <c r="P87" s="83">
        <v>2</v>
      </c>
      <c r="Q87" s="83">
        <v>18000</v>
      </c>
      <c r="R87" s="83">
        <v>3</v>
      </c>
      <c r="S87" s="83">
        <v>27000</v>
      </c>
      <c r="T87" s="83">
        <v>3</v>
      </c>
      <c r="U87" s="83">
        <v>27000</v>
      </c>
      <c r="V87" s="83">
        <v>3</v>
      </c>
      <c r="W87" s="83">
        <v>27000</v>
      </c>
      <c r="X87" s="167"/>
      <c r="Z87" s="237">
        <f t="shared" si="1"/>
        <v>0</v>
      </c>
    </row>
    <row r="88" spans="1:26" s="141" customFormat="1" x14ac:dyDescent="0.25">
      <c r="A88" s="186">
        <v>9.5</v>
      </c>
      <c r="B88" s="165" t="s">
        <v>424</v>
      </c>
      <c r="C88" s="110">
        <v>2212000</v>
      </c>
      <c r="D88" s="267" t="s">
        <v>71</v>
      </c>
      <c r="E88" s="11"/>
      <c r="F88" s="110"/>
      <c r="G88" s="81"/>
      <c r="H88" s="129">
        <v>3</v>
      </c>
      <c r="I88" s="151">
        <v>98401</v>
      </c>
      <c r="J88" s="83" t="s">
        <v>429</v>
      </c>
      <c r="K88" s="24">
        <v>21000</v>
      </c>
      <c r="L88" s="246" t="str">
        <f t="shared" si="5"/>
        <v>1 квартал 2012</v>
      </c>
      <c r="M88" s="245">
        <v>41244</v>
      </c>
      <c r="N88" s="257"/>
      <c r="O88" s="24"/>
      <c r="P88" s="83">
        <v>2</v>
      </c>
      <c r="Q88" s="83">
        <v>14000</v>
      </c>
      <c r="R88" s="83">
        <v>1</v>
      </c>
      <c r="S88" s="83">
        <v>7000</v>
      </c>
      <c r="T88" s="83"/>
      <c r="U88" s="83"/>
      <c r="V88" s="83"/>
      <c r="W88" s="83"/>
      <c r="X88" s="167"/>
      <c r="Z88" s="237">
        <f t="shared" ref="Z88:Z151" si="9">K88-Q88-S88-U88-W88</f>
        <v>0</v>
      </c>
    </row>
    <row r="89" spans="1:26" s="141" customFormat="1" x14ac:dyDescent="0.25">
      <c r="A89" s="186">
        <v>9.6</v>
      </c>
      <c r="B89" s="165" t="s">
        <v>424</v>
      </c>
      <c r="C89" s="110">
        <v>2212000</v>
      </c>
      <c r="D89" s="267" t="s">
        <v>72</v>
      </c>
      <c r="E89" s="11"/>
      <c r="F89" s="110"/>
      <c r="G89" s="129"/>
      <c r="H89" s="129">
        <v>2</v>
      </c>
      <c r="I89" s="151">
        <v>98401</v>
      </c>
      <c r="J89" s="83" t="s">
        <v>429</v>
      </c>
      <c r="K89" s="24">
        <v>38000</v>
      </c>
      <c r="L89" s="246" t="str">
        <f t="shared" si="5"/>
        <v>2 квартал 2012</v>
      </c>
      <c r="M89" s="245">
        <v>41244</v>
      </c>
      <c r="N89" s="257"/>
      <c r="O89" s="24"/>
      <c r="P89" s="83"/>
      <c r="Q89" s="83"/>
      <c r="R89" s="24">
        <v>2</v>
      </c>
      <c r="S89" s="24">
        <v>38000</v>
      </c>
      <c r="T89" s="83"/>
      <c r="U89" s="83"/>
      <c r="V89" s="83"/>
      <c r="W89" s="83"/>
      <c r="X89" s="167"/>
      <c r="Z89" s="237">
        <f t="shared" si="9"/>
        <v>0</v>
      </c>
    </row>
    <row r="90" spans="1:26" s="141" customFormat="1" x14ac:dyDescent="0.25">
      <c r="A90" s="186">
        <v>9.6999999999999993</v>
      </c>
      <c r="B90" s="165" t="s">
        <v>424</v>
      </c>
      <c r="C90" s="110">
        <v>2212000</v>
      </c>
      <c r="D90" s="267" t="s">
        <v>73</v>
      </c>
      <c r="E90" s="11"/>
      <c r="F90" s="110"/>
      <c r="G90" s="129"/>
      <c r="H90" s="129">
        <v>175</v>
      </c>
      <c r="I90" s="151">
        <v>98401</v>
      </c>
      <c r="J90" s="83" t="s">
        <v>429</v>
      </c>
      <c r="K90" s="24">
        <v>350000</v>
      </c>
      <c r="L90" s="246" t="str">
        <f t="shared" si="5"/>
        <v>1 квартал 2012</v>
      </c>
      <c r="M90" s="245">
        <v>41244</v>
      </c>
      <c r="N90" s="257"/>
      <c r="O90" s="24"/>
      <c r="P90" s="83">
        <v>40</v>
      </c>
      <c r="Q90" s="83">
        <v>80000</v>
      </c>
      <c r="R90" s="83">
        <v>45</v>
      </c>
      <c r="S90" s="83">
        <v>90000</v>
      </c>
      <c r="T90" s="83">
        <v>45</v>
      </c>
      <c r="U90" s="83">
        <v>90000</v>
      </c>
      <c r="V90" s="83">
        <v>45</v>
      </c>
      <c r="W90" s="83">
        <v>90000</v>
      </c>
      <c r="X90" s="167"/>
      <c r="Z90" s="237">
        <f t="shared" si="9"/>
        <v>0</v>
      </c>
    </row>
    <row r="91" spans="1:26" s="141" customFormat="1" x14ac:dyDescent="0.25">
      <c r="A91" s="186">
        <v>9.8000000000000007</v>
      </c>
      <c r="B91" s="165" t="s">
        <v>424</v>
      </c>
      <c r="C91" s="110">
        <v>2212000</v>
      </c>
      <c r="D91" s="267" t="s">
        <v>74</v>
      </c>
      <c r="E91" s="11"/>
      <c r="F91" s="110"/>
      <c r="G91" s="129"/>
      <c r="H91" s="129">
        <v>2</v>
      </c>
      <c r="I91" s="151">
        <v>98401</v>
      </c>
      <c r="J91" s="83" t="s">
        <v>429</v>
      </c>
      <c r="K91" s="24">
        <v>70000</v>
      </c>
      <c r="L91" s="246" t="str">
        <f t="shared" si="5"/>
        <v>2 квартал 2012</v>
      </c>
      <c r="M91" s="245">
        <v>41244</v>
      </c>
      <c r="N91" s="257"/>
      <c r="O91" s="24"/>
      <c r="P91" s="83"/>
      <c r="Q91" s="83"/>
      <c r="R91" s="24">
        <v>2</v>
      </c>
      <c r="S91" s="24">
        <v>70000</v>
      </c>
      <c r="T91" s="83"/>
      <c r="U91" s="83"/>
      <c r="V91" s="83"/>
      <c r="W91" s="83"/>
      <c r="X91" s="167"/>
      <c r="Z91" s="237">
        <f t="shared" si="9"/>
        <v>0</v>
      </c>
    </row>
    <row r="92" spans="1:26" s="230" customFormat="1" ht="14.25" x14ac:dyDescent="0.2">
      <c r="A92" s="232">
        <v>10</v>
      </c>
      <c r="B92" s="156"/>
      <c r="C92" s="157"/>
      <c r="D92" s="264" t="s">
        <v>75</v>
      </c>
      <c r="E92" s="159"/>
      <c r="F92" s="159"/>
      <c r="G92" s="160"/>
      <c r="H92" s="160"/>
      <c r="I92" s="161"/>
      <c r="J92" s="162"/>
      <c r="K92" s="162">
        <f>SUM(K93:K113)</f>
        <v>141418.5</v>
      </c>
      <c r="L92" s="244"/>
      <c r="M92" s="244"/>
      <c r="N92" s="254"/>
      <c r="O92" s="162"/>
      <c r="P92" s="162">
        <f t="shared" ref="P92:W92" si="10">SUM(P93:P113)</f>
        <v>0</v>
      </c>
      <c r="Q92" s="162">
        <f t="shared" si="10"/>
        <v>0</v>
      </c>
      <c r="R92" s="162">
        <f t="shared" si="10"/>
        <v>11</v>
      </c>
      <c r="S92" s="162">
        <f t="shared" si="10"/>
        <v>18030</v>
      </c>
      <c r="T92" s="162">
        <f t="shared" si="10"/>
        <v>2</v>
      </c>
      <c r="U92" s="162">
        <f t="shared" si="10"/>
        <v>20040</v>
      </c>
      <c r="V92" s="162">
        <f t="shared" si="10"/>
        <v>23</v>
      </c>
      <c r="W92" s="162">
        <f t="shared" si="10"/>
        <v>103348.5</v>
      </c>
      <c r="X92" s="163"/>
      <c r="Y92" s="231"/>
      <c r="Z92" s="237">
        <f t="shared" si="9"/>
        <v>0</v>
      </c>
    </row>
    <row r="93" spans="1:26" s="141" customFormat="1" x14ac:dyDescent="0.25">
      <c r="A93" s="186">
        <v>10.1</v>
      </c>
      <c r="B93" s="110">
        <v>52.47</v>
      </c>
      <c r="C93" s="110">
        <v>2212000</v>
      </c>
      <c r="D93" s="267" t="s">
        <v>76</v>
      </c>
      <c r="E93" s="11"/>
      <c r="F93" s="110">
        <v>796</v>
      </c>
      <c r="G93" s="129" t="s">
        <v>17</v>
      </c>
      <c r="H93" s="129">
        <v>2</v>
      </c>
      <c r="I93" s="151">
        <v>98401</v>
      </c>
      <c r="J93" s="83" t="s">
        <v>429</v>
      </c>
      <c r="K93" s="27">
        <v>3000</v>
      </c>
      <c r="L93" s="246" t="str">
        <f t="shared" si="5"/>
        <v>2 квартал 2012</v>
      </c>
      <c r="M93" s="245">
        <v>41244</v>
      </c>
      <c r="N93" s="256"/>
      <c r="O93" s="27"/>
      <c r="P93" s="83"/>
      <c r="Q93" s="83"/>
      <c r="R93" s="24">
        <v>1</v>
      </c>
      <c r="S93" s="27">
        <v>1500</v>
      </c>
      <c r="T93" s="187"/>
      <c r="U93" s="188"/>
      <c r="V93" s="27">
        <v>1</v>
      </c>
      <c r="W93" s="27">
        <v>1500</v>
      </c>
      <c r="X93" s="167"/>
      <c r="Z93" s="237">
        <f t="shared" si="9"/>
        <v>0</v>
      </c>
    </row>
    <row r="94" spans="1:26" s="141" customFormat="1" x14ac:dyDescent="0.25">
      <c r="A94" s="186">
        <v>10.199999999999999</v>
      </c>
      <c r="B94" s="110">
        <v>52.47</v>
      </c>
      <c r="C94" s="110">
        <v>2212000</v>
      </c>
      <c r="D94" s="267" t="s">
        <v>77</v>
      </c>
      <c r="E94" s="11"/>
      <c r="F94" s="110">
        <v>796</v>
      </c>
      <c r="G94" s="129" t="s">
        <v>17</v>
      </c>
      <c r="H94" s="129">
        <v>2</v>
      </c>
      <c r="I94" s="151">
        <v>98401</v>
      </c>
      <c r="J94" s="83" t="s">
        <v>429</v>
      </c>
      <c r="K94" s="27">
        <v>1200</v>
      </c>
      <c r="L94" s="246" t="str">
        <f t="shared" si="5"/>
        <v>2 квартал 2012</v>
      </c>
      <c r="M94" s="245">
        <v>41244</v>
      </c>
      <c r="N94" s="256"/>
      <c r="O94" s="27"/>
      <c r="P94" s="83"/>
      <c r="Q94" s="83"/>
      <c r="R94" s="24">
        <v>1</v>
      </c>
      <c r="S94" s="27">
        <v>600</v>
      </c>
      <c r="T94" s="187"/>
      <c r="U94" s="188"/>
      <c r="V94" s="27">
        <v>1</v>
      </c>
      <c r="W94" s="27">
        <v>600</v>
      </c>
      <c r="X94" s="167"/>
      <c r="Z94" s="237">
        <f t="shared" si="9"/>
        <v>0</v>
      </c>
    </row>
    <row r="95" spans="1:26" s="141" customFormat="1" x14ac:dyDescent="0.25">
      <c r="A95" s="186">
        <v>10.3</v>
      </c>
      <c r="B95" s="110">
        <v>52.47</v>
      </c>
      <c r="C95" s="110">
        <v>2212000</v>
      </c>
      <c r="D95" s="267" t="s">
        <v>78</v>
      </c>
      <c r="E95" s="11"/>
      <c r="F95" s="110">
        <v>796</v>
      </c>
      <c r="G95" s="129" t="s">
        <v>17</v>
      </c>
      <c r="H95" s="129">
        <v>2</v>
      </c>
      <c r="I95" s="151">
        <v>98401</v>
      </c>
      <c r="J95" s="83" t="s">
        <v>429</v>
      </c>
      <c r="K95" s="377">
        <v>1920</v>
      </c>
      <c r="L95" s="246" t="str">
        <f t="shared" si="5"/>
        <v>2 квартал 2012</v>
      </c>
      <c r="M95" s="245">
        <v>41244</v>
      </c>
      <c r="N95" s="258"/>
      <c r="O95" s="233"/>
      <c r="P95" s="83"/>
      <c r="Q95" s="83"/>
      <c r="R95" s="24">
        <v>1</v>
      </c>
      <c r="S95" s="377">
        <v>960</v>
      </c>
      <c r="T95" s="187"/>
      <c r="U95" s="188"/>
      <c r="V95" s="27">
        <v>1</v>
      </c>
      <c r="W95" s="377">
        <v>960</v>
      </c>
      <c r="X95" s="167"/>
      <c r="Z95" s="237">
        <f t="shared" si="9"/>
        <v>0</v>
      </c>
    </row>
    <row r="96" spans="1:26" s="141" customFormat="1" x14ac:dyDescent="0.25">
      <c r="A96" s="186">
        <v>10.4</v>
      </c>
      <c r="B96" s="110">
        <v>52.47</v>
      </c>
      <c r="C96" s="110">
        <v>2212000</v>
      </c>
      <c r="D96" s="267" t="s">
        <v>79</v>
      </c>
      <c r="E96" s="11"/>
      <c r="F96" s="110">
        <v>796</v>
      </c>
      <c r="G96" s="129" t="s">
        <v>17</v>
      </c>
      <c r="H96" s="129">
        <v>2</v>
      </c>
      <c r="I96" s="151">
        <v>98401</v>
      </c>
      <c r="J96" s="83" t="s">
        <v>429</v>
      </c>
      <c r="K96" s="377"/>
      <c r="L96" s="246" t="str">
        <f t="shared" si="5"/>
        <v>4 квартал 2012</v>
      </c>
      <c r="M96" s="245">
        <v>41244</v>
      </c>
      <c r="N96" s="258"/>
      <c r="O96" s="233"/>
      <c r="P96" s="83"/>
      <c r="Q96" s="83"/>
      <c r="R96" s="24">
        <v>1</v>
      </c>
      <c r="S96" s="377"/>
      <c r="T96" s="187"/>
      <c r="U96" s="188"/>
      <c r="V96" s="27">
        <v>1</v>
      </c>
      <c r="W96" s="377"/>
      <c r="X96" s="167"/>
      <c r="Z96" s="237">
        <f t="shared" si="9"/>
        <v>0</v>
      </c>
    </row>
    <row r="97" spans="1:26" s="141" customFormat="1" x14ac:dyDescent="0.25">
      <c r="A97" s="186">
        <v>10.5</v>
      </c>
      <c r="B97" s="110">
        <v>52.47</v>
      </c>
      <c r="C97" s="110">
        <v>2212000</v>
      </c>
      <c r="D97" s="267" t="s">
        <v>80</v>
      </c>
      <c r="E97" s="11"/>
      <c r="F97" s="110">
        <v>796</v>
      </c>
      <c r="G97" s="129" t="s">
        <v>17</v>
      </c>
      <c r="H97" s="129">
        <v>2</v>
      </c>
      <c r="I97" s="151">
        <v>98401</v>
      </c>
      <c r="J97" s="83" t="s">
        <v>429</v>
      </c>
      <c r="K97" s="27">
        <v>1560</v>
      </c>
      <c r="L97" s="246" t="str">
        <f t="shared" si="5"/>
        <v>2 квартал 2012</v>
      </c>
      <c r="M97" s="245">
        <v>41244</v>
      </c>
      <c r="N97" s="256"/>
      <c r="O97" s="27"/>
      <c r="P97" s="83"/>
      <c r="Q97" s="83"/>
      <c r="R97" s="24">
        <v>1</v>
      </c>
      <c r="S97" s="27">
        <v>780</v>
      </c>
      <c r="T97" s="187"/>
      <c r="U97" s="188"/>
      <c r="V97" s="27">
        <v>1</v>
      </c>
      <c r="W97" s="27">
        <v>780</v>
      </c>
      <c r="X97" s="167"/>
      <c r="Z97" s="237">
        <f t="shared" si="9"/>
        <v>0</v>
      </c>
    </row>
    <row r="98" spans="1:26" s="141" customFormat="1" x14ac:dyDescent="0.25">
      <c r="A98" s="186">
        <v>10.6</v>
      </c>
      <c r="B98" s="110">
        <v>52.47</v>
      </c>
      <c r="C98" s="110">
        <v>2212000</v>
      </c>
      <c r="D98" s="267" t="s">
        <v>81</v>
      </c>
      <c r="E98" s="11"/>
      <c r="F98" s="110">
        <v>796</v>
      </c>
      <c r="G98" s="129" t="s">
        <v>17</v>
      </c>
      <c r="H98" s="129">
        <v>2</v>
      </c>
      <c r="I98" s="151">
        <v>98401</v>
      </c>
      <c r="J98" s="83" t="s">
        <v>429</v>
      </c>
      <c r="K98" s="27">
        <v>10524</v>
      </c>
      <c r="L98" s="246" t="str">
        <f t="shared" si="5"/>
        <v>2 квартал 2012</v>
      </c>
      <c r="M98" s="245">
        <v>41244</v>
      </c>
      <c r="N98" s="256"/>
      <c r="O98" s="27"/>
      <c r="P98" s="83"/>
      <c r="Q98" s="83"/>
      <c r="R98" s="24">
        <v>1</v>
      </c>
      <c r="S98" s="27">
        <v>5262</v>
      </c>
      <c r="T98" s="187"/>
      <c r="U98" s="188"/>
      <c r="V98" s="27">
        <v>1</v>
      </c>
      <c r="W98" s="27">
        <v>5262</v>
      </c>
      <c r="X98" s="167"/>
      <c r="Z98" s="237">
        <f t="shared" si="9"/>
        <v>0</v>
      </c>
    </row>
    <row r="99" spans="1:26" s="141" customFormat="1" x14ac:dyDescent="0.25">
      <c r="A99" s="186">
        <v>10.7</v>
      </c>
      <c r="B99" s="110">
        <v>52.47</v>
      </c>
      <c r="C99" s="110">
        <v>2212000</v>
      </c>
      <c r="D99" s="267" t="s">
        <v>82</v>
      </c>
      <c r="E99" s="11"/>
      <c r="F99" s="110">
        <v>796</v>
      </c>
      <c r="G99" s="129" t="s">
        <v>17</v>
      </c>
      <c r="H99" s="129">
        <v>2</v>
      </c>
      <c r="I99" s="151">
        <v>98401</v>
      </c>
      <c r="J99" s="83" t="s">
        <v>429</v>
      </c>
      <c r="K99" s="27">
        <v>4508</v>
      </c>
      <c r="L99" s="246" t="str">
        <f t="shared" si="5"/>
        <v>2 квартал 2012</v>
      </c>
      <c r="M99" s="245">
        <v>41244</v>
      </c>
      <c r="N99" s="256"/>
      <c r="O99" s="27"/>
      <c r="P99" s="83"/>
      <c r="Q99" s="83"/>
      <c r="R99" s="24">
        <v>1</v>
      </c>
      <c r="S99" s="27">
        <v>2254</v>
      </c>
      <c r="T99" s="187"/>
      <c r="U99" s="188"/>
      <c r="V99" s="27">
        <v>1</v>
      </c>
      <c r="W99" s="27">
        <v>2254</v>
      </c>
      <c r="X99" s="167"/>
      <c r="Z99" s="237">
        <f t="shared" si="9"/>
        <v>0</v>
      </c>
    </row>
    <row r="100" spans="1:26" s="141" customFormat="1" x14ac:dyDescent="0.25">
      <c r="A100" s="186">
        <v>10.8</v>
      </c>
      <c r="B100" s="110">
        <v>52.47</v>
      </c>
      <c r="C100" s="110">
        <v>2212000</v>
      </c>
      <c r="D100" s="267" t="s">
        <v>83</v>
      </c>
      <c r="E100" s="11"/>
      <c r="F100" s="110">
        <v>796</v>
      </c>
      <c r="G100" s="129" t="s">
        <v>17</v>
      </c>
      <c r="H100" s="129">
        <v>2</v>
      </c>
      <c r="I100" s="151">
        <v>98401</v>
      </c>
      <c r="J100" s="83" t="s">
        <v>429</v>
      </c>
      <c r="K100" s="27">
        <v>1824</v>
      </c>
      <c r="L100" s="246" t="str">
        <f t="shared" si="5"/>
        <v>2 квартал 2012</v>
      </c>
      <c r="M100" s="245">
        <v>41244</v>
      </c>
      <c r="N100" s="256"/>
      <c r="O100" s="27"/>
      <c r="P100" s="83"/>
      <c r="Q100" s="83"/>
      <c r="R100" s="24">
        <v>1</v>
      </c>
      <c r="S100" s="27">
        <v>912</v>
      </c>
      <c r="T100" s="187"/>
      <c r="U100" s="188"/>
      <c r="V100" s="27">
        <v>1</v>
      </c>
      <c r="W100" s="27">
        <v>912</v>
      </c>
      <c r="X100" s="167"/>
      <c r="Z100" s="237">
        <f t="shared" si="9"/>
        <v>0</v>
      </c>
    </row>
    <row r="101" spans="1:26" s="141" customFormat="1" x14ac:dyDescent="0.25">
      <c r="A101" s="186">
        <v>10.9</v>
      </c>
      <c r="B101" s="110">
        <v>52.47</v>
      </c>
      <c r="C101" s="110">
        <v>2212000</v>
      </c>
      <c r="D101" s="267" t="s">
        <v>84</v>
      </c>
      <c r="E101" s="11"/>
      <c r="F101" s="110">
        <v>796</v>
      </c>
      <c r="G101" s="129" t="s">
        <v>17</v>
      </c>
      <c r="H101" s="129">
        <v>2</v>
      </c>
      <c r="I101" s="151">
        <v>98401</v>
      </c>
      <c r="J101" s="83" t="s">
        <v>429</v>
      </c>
      <c r="K101" s="27">
        <v>7512</v>
      </c>
      <c r="L101" s="246" t="str">
        <f t="shared" si="5"/>
        <v>2 квартал 2012</v>
      </c>
      <c r="M101" s="245">
        <v>41244</v>
      </c>
      <c r="N101" s="256"/>
      <c r="O101" s="27"/>
      <c r="P101" s="83"/>
      <c r="Q101" s="83"/>
      <c r="R101" s="24">
        <v>1</v>
      </c>
      <c r="S101" s="27">
        <v>3756</v>
      </c>
      <c r="T101" s="187"/>
      <c r="U101" s="188"/>
      <c r="V101" s="27">
        <v>1</v>
      </c>
      <c r="W101" s="27">
        <v>3756</v>
      </c>
      <c r="X101" s="167"/>
      <c r="Z101" s="237">
        <f t="shared" si="9"/>
        <v>0</v>
      </c>
    </row>
    <row r="102" spans="1:26" s="141" customFormat="1" x14ac:dyDescent="0.25">
      <c r="A102" s="186">
        <v>10.1</v>
      </c>
      <c r="B102" s="110">
        <v>52.47</v>
      </c>
      <c r="C102" s="110">
        <v>2212000</v>
      </c>
      <c r="D102" s="267" t="s">
        <v>85</v>
      </c>
      <c r="E102" s="11"/>
      <c r="F102" s="110">
        <v>796</v>
      </c>
      <c r="G102" s="129" t="s">
        <v>17</v>
      </c>
      <c r="H102" s="129">
        <v>2</v>
      </c>
      <c r="I102" s="151">
        <v>98401</v>
      </c>
      <c r="J102" s="83" t="s">
        <v>429</v>
      </c>
      <c r="K102" s="27">
        <v>1084</v>
      </c>
      <c r="L102" s="246" t="str">
        <f t="shared" si="5"/>
        <v>2 квартал 2012</v>
      </c>
      <c r="M102" s="245">
        <v>41244</v>
      </c>
      <c r="N102" s="256"/>
      <c r="O102" s="27"/>
      <c r="P102" s="83"/>
      <c r="Q102" s="83"/>
      <c r="R102" s="24">
        <v>1</v>
      </c>
      <c r="S102" s="27">
        <v>542</v>
      </c>
      <c r="T102" s="187"/>
      <c r="U102" s="188"/>
      <c r="V102" s="27">
        <v>1</v>
      </c>
      <c r="W102" s="27">
        <v>542</v>
      </c>
      <c r="X102" s="167"/>
      <c r="Z102" s="237">
        <f t="shared" si="9"/>
        <v>0</v>
      </c>
    </row>
    <row r="103" spans="1:26" s="141" customFormat="1" x14ac:dyDescent="0.25">
      <c r="A103" s="186">
        <v>10.11</v>
      </c>
      <c r="B103" s="110">
        <v>52.47</v>
      </c>
      <c r="C103" s="110">
        <v>2212000</v>
      </c>
      <c r="D103" s="267" t="s">
        <v>86</v>
      </c>
      <c r="E103" s="11"/>
      <c r="F103" s="110">
        <v>796</v>
      </c>
      <c r="G103" s="129" t="s">
        <v>17</v>
      </c>
      <c r="H103" s="129">
        <v>2</v>
      </c>
      <c r="I103" s="151">
        <v>98401</v>
      </c>
      <c r="J103" s="83" t="s">
        <v>429</v>
      </c>
      <c r="K103" s="27">
        <v>2928</v>
      </c>
      <c r="L103" s="246" t="str">
        <f t="shared" si="5"/>
        <v>2 квартал 2012</v>
      </c>
      <c r="M103" s="245">
        <v>41244</v>
      </c>
      <c r="N103" s="256"/>
      <c r="O103" s="27"/>
      <c r="P103" s="83"/>
      <c r="Q103" s="83"/>
      <c r="R103" s="24">
        <v>1</v>
      </c>
      <c r="S103" s="27">
        <v>1464</v>
      </c>
      <c r="T103" s="187"/>
      <c r="U103" s="188"/>
      <c r="V103" s="27">
        <v>1</v>
      </c>
      <c r="W103" s="27">
        <v>1464</v>
      </c>
      <c r="X103" s="167"/>
      <c r="Z103" s="237">
        <f t="shared" si="9"/>
        <v>0</v>
      </c>
    </row>
    <row r="104" spans="1:26" s="141" customFormat="1" x14ac:dyDescent="0.25">
      <c r="A104" s="186">
        <v>10.119999999999999</v>
      </c>
      <c r="B104" s="110">
        <v>52.47</v>
      </c>
      <c r="C104" s="110">
        <v>2212000</v>
      </c>
      <c r="D104" s="267" t="s">
        <v>87</v>
      </c>
      <c r="E104" s="11"/>
      <c r="F104" s="110">
        <v>796</v>
      </c>
      <c r="G104" s="129" t="s">
        <v>17</v>
      </c>
      <c r="H104" s="129">
        <v>1</v>
      </c>
      <c r="I104" s="151">
        <v>98401</v>
      </c>
      <c r="J104" s="83" t="s">
        <v>429</v>
      </c>
      <c r="K104" s="27">
        <v>15840</v>
      </c>
      <c r="L104" s="246" t="str">
        <f t="shared" si="5"/>
        <v>3 квартал 2012</v>
      </c>
      <c r="M104" s="245">
        <v>41244</v>
      </c>
      <c r="N104" s="256"/>
      <c r="O104" s="27"/>
      <c r="P104" s="83"/>
      <c r="Q104" s="83"/>
      <c r="R104" s="24"/>
      <c r="S104" s="27"/>
      <c r="T104" s="187">
        <v>1</v>
      </c>
      <c r="U104" s="188">
        <v>15840</v>
      </c>
      <c r="V104" s="27"/>
      <c r="W104" s="27"/>
      <c r="X104" s="167"/>
      <c r="Z104" s="237">
        <f t="shared" si="9"/>
        <v>0</v>
      </c>
    </row>
    <row r="105" spans="1:26" s="141" customFormat="1" x14ac:dyDescent="0.25">
      <c r="A105" s="186">
        <v>10.130000000000001</v>
      </c>
      <c r="B105" s="110">
        <v>52.47</v>
      </c>
      <c r="C105" s="110">
        <v>2212000</v>
      </c>
      <c r="D105" s="267" t="s">
        <v>88</v>
      </c>
      <c r="E105" s="11"/>
      <c r="F105" s="110">
        <v>796</v>
      </c>
      <c r="G105" s="129" t="s">
        <v>17</v>
      </c>
      <c r="H105" s="129">
        <v>1</v>
      </c>
      <c r="I105" s="151">
        <v>98401</v>
      </c>
      <c r="J105" s="83" t="s">
        <v>429</v>
      </c>
      <c r="K105" s="24">
        <v>4200</v>
      </c>
      <c r="L105" s="246" t="str">
        <f t="shared" si="5"/>
        <v>3 квартал 2012</v>
      </c>
      <c r="M105" s="245">
        <v>41244</v>
      </c>
      <c r="N105" s="257"/>
      <c r="O105" s="24"/>
      <c r="P105" s="83"/>
      <c r="Q105" s="83"/>
      <c r="R105" s="24"/>
      <c r="S105" s="83"/>
      <c r="T105" s="191">
        <v>1</v>
      </c>
      <c r="U105" s="83">
        <v>4200</v>
      </c>
      <c r="V105" s="24"/>
      <c r="W105" s="24"/>
      <c r="X105" s="24"/>
      <c r="Z105" s="237">
        <f t="shared" si="9"/>
        <v>0</v>
      </c>
    </row>
    <row r="106" spans="1:26" s="141" customFormat="1" x14ac:dyDescent="0.25">
      <c r="A106" s="186">
        <v>10.14</v>
      </c>
      <c r="B106" s="110">
        <v>52.47</v>
      </c>
      <c r="C106" s="110">
        <v>2212000</v>
      </c>
      <c r="D106" s="267" t="s">
        <v>89</v>
      </c>
      <c r="E106" s="11"/>
      <c r="F106" s="110">
        <v>796</v>
      </c>
      <c r="G106" s="129" t="s">
        <v>17</v>
      </c>
      <c r="H106" s="129">
        <v>3</v>
      </c>
      <c r="I106" s="151">
        <v>98401</v>
      </c>
      <c r="J106" s="83" t="s">
        <v>429</v>
      </c>
      <c r="K106" s="24">
        <v>21420</v>
      </c>
      <c r="L106" s="246" t="str">
        <f t="shared" si="5"/>
        <v>4 квартал 2012</v>
      </c>
      <c r="M106" s="245">
        <v>41244</v>
      </c>
      <c r="N106" s="257"/>
      <c r="O106" s="24"/>
      <c r="P106" s="83"/>
      <c r="Q106" s="83"/>
      <c r="R106" s="24"/>
      <c r="S106" s="24"/>
      <c r="T106" s="83"/>
      <c r="U106" s="83"/>
      <c r="V106" s="24">
        <v>3</v>
      </c>
      <c r="W106" s="24">
        <v>21420</v>
      </c>
      <c r="X106" s="24"/>
      <c r="Z106" s="237">
        <f t="shared" si="9"/>
        <v>0</v>
      </c>
    </row>
    <row r="107" spans="1:26" s="141" customFormat="1" x14ac:dyDescent="0.25">
      <c r="A107" s="186">
        <v>10.15</v>
      </c>
      <c r="B107" s="110">
        <v>52.47</v>
      </c>
      <c r="C107" s="110">
        <v>2212000</v>
      </c>
      <c r="D107" s="267" t="s">
        <v>90</v>
      </c>
      <c r="E107" s="11"/>
      <c r="F107" s="110">
        <v>796</v>
      </c>
      <c r="G107" s="129" t="s">
        <v>17</v>
      </c>
      <c r="H107" s="129">
        <v>3</v>
      </c>
      <c r="I107" s="151">
        <v>98401</v>
      </c>
      <c r="J107" s="83" t="s">
        <v>429</v>
      </c>
      <c r="K107" s="24">
        <v>10800</v>
      </c>
      <c r="L107" s="246" t="str">
        <f t="shared" si="5"/>
        <v>4 квартал 2012</v>
      </c>
      <c r="M107" s="245">
        <v>41244</v>
      </c>
      <c r="N107" s="257"/>
      <c r="O107" s="24"/>
      <c r="P107" s="83"/>
      <c r="Q107" s="83"/>
      <c r="R107" s="24"/>
      <c r="S107" s="24"/>
      <c r="T107" s="83"/>
      <c r="U107" s="83"/>
      <c r="V107" s="24">
        <v>3</v>
      </c>
      <c r="W107" s="24">
        <v>10800</v>
      </c>
      <c r="X107" s="24"/>
      <c r="Z107" s="237">
        <f t="shared" si="9"/>
        <v>0</v>
      </c>
    </row>
    <row r="108" spans="1:26" s="141" customFormat="1" x14ac:dyDescent="0.25">
      <c r="A108" s="186">
        <v>10.16</v>
      </c>
      <c r="B108" s="110">
        <v>52.47</v>
      </c>
      <c r="C108" s="110">
        <v>2212000</v>
      </c>
      <c r="D108" s="267" t="s">
        <v>91</v>
      </c>
      <c r="E108" s="11"/>
      <c r="F108" s="110">
        <v>796</v>
      </c>
      <c r="G108" s="129" t="s">
        <v>17</v>
      </c>
      <c r="H108" s="129">
        <v>1</v>
      </c>
      <c r="I108" s="151">
        <v>98401</v>
      </c>
      <c r="J108" s="83" t="s">
        <v>429</v>
      </c>
      <c r="K108" s="376">
        <v>53098.5</v>
      </c>
      <c r="L108" s="246" t="str">
        <f t="shared" si="5"/>
        <v>4 квартал 2012</v>
      </c>
      <c r="M108" s="245">
        <v>41244</v>
      </c>
      <c r="N108" s="259"/>
      <c r="O108" s="129"/>
      <c r="P108" s="83"/>
      <c r="Q108" s="83"/>
      <c r="R108" s="24"/>
      <c r="S108" s="24"/>
      <c r="T108" s="83"/>
      <c r="U108" s="83"/>
      <c r="V108" s="24">
        <v>1</v>
      </c>
      <c r="W108" s="376">
        <v>53098.5</v>
      </c>
      <c r="X108" s="376"/>
      <c r="Z108" s="237">
        <f t="shared" si="9"/>
        <v>0</v>
      </c>
    </row>
    <row r="109" spans="1:26" s="141" customFormat="1" x14ac:dyDescent="0.25">
      <c r="A109" s="186">
        <v>10.17</v>
      </c>
      <c r="B109" s="110">
        <v>52.47</v>
      </c>
      <c r="C109" s="110">
        <v>2212000</v>
      </c>
      <c r="D109" s="267" t="s">
        <v>92</v>
      </c>
      <c r="E109" s="11"/>
      <c r="F109" s="110">
        <v>796</v>
      </c>
      <c r="G109" s="129" t="s">
        <v>17</v>
      </c>
      <c r="H109" s="129">
        <v>1</v>
      </c>
      <c r="I109" s="151">
        <v>98401</v>
      </c>
      <c r="J109" s="83" t="s">
        <v>429</v>
      </c>
      <c r="K109" s="376"/>
      <c r="L109" s="246" t="str">
        <f t="shared" si="5"/>
        <v>4 квартал 2012</v>
      </c>
      <c r="M109" s="245">
        <v>41244</v>
      </c>
      <c r="N109" s="259"/>
      <c r="O109" s="129"/>
      <c r="P109" s="83"/>
      <c r="Q109" s="83"/>
      <c r="R109" s="24"/>
      <c r="S109" s="24"/>
      <c r="T109" s="83"/>
      <c r="U109" s="83"/>
      <c r="V109" s="24">
        <v>1</v>
      </c>
      <c r="W109" s="376"/>
      <c r="X109" s="376"/>
      <c r="Z109" s="237">
        <f t="shared" si="9"/>
        <v>0</v>
      </c>
    </row>
    <row r="110" spans="1:26" s="141" customFormat="1" x14ac:dyDescent="0.25">
      <c r="A110" s="186">
        <v>10.18</v>
      </c>
      <c r="B110" s="110">
        <v>52.47</v>
      </c>
      <c r="C110" s="110">
        <v>2212000</v>
      </c>
      <c r="D110" s="267" t="s">
        <v>93</v>
      </c>
      <c r="E110" s="11"/>
      <c r="F110" s="110">
        <v>796</v>
      </c>
      <c r="G110" s="129" t="s">
        <v>17</v>
      </c>
      <c r="H110" s="129">
        <v>1</v>
      </c>
      <c r="I110" s="151">
        <v>98401</v>
      </c>
      <c r="J110" s="83" t="s">
        <v>429</v>
      </c>
      <c r="K110" s="376"/>
      <c r="L110" s="246" t="str">
        <f t="shared" si="5"/>
        <v>4 квартал 2012</v>
      </c>
      <c r="M110" s="245">
        <v>41244</v>
      </c>
      <c r="N110" s="259"/>
      <c r="O110" s="129"/>
      <c r="P110" s="83"/>
      <c r="Q110" s="83"/>
      <c r="R110" s="24"/>
      <c r="S110" s="24"/>
      <c r="T110" s="83"/>
      <c r="U110" s="83"/>
      <c r="V110" s="24">
        <v>1</v>
      </c>
      <c r="W110" s="376"/>
      <c r="X110" s="376"/>
      <c r="Z110" s="237">
        <f t="shared" si="9"/>
        <v>0</v>
      </c>
    </row>
    <row r="111" spans="1:26" s="141" customFormat="1" x14ac:dyDescent="0.25">
      <c r="A111" s="186">
        <v>10.19</v>
      </c>
      <c r="B111" s="110">
        <v>52.47</v>
      </c>
      <c r="C111" s="110">
        <v>2212000</v>
      </c>
      <c r="D111" s="267" t="s">
        <v>94</v>
      </c>
      <c r="E111" s="11"/>
      <c r="F111" s="110">
        <v>796</v>
      </c>
      <c r="G111" s="129" t="s">
        <v>17</v>
      </c>
      <c r="H111" s="129">
        <v>1</v>
      </c>
      <c r="I111" s="151">
        <v>98401</v>
      </c>
      <c r="J111" s="83" t="s">
        <v>429</v>
      </c>
      <c r="K111" s="376"/>
      <c r="L111" s="246" t="str">
        <f t="shared" si="5"/>
        <v>4 квартал 2012</v>
      </c>
      <c r="M111" s="245">
        <v>41244</v>
      </c>
      <c r="N111" s="259"/>
      <c r="O111" s="129"/>
      <c r="P111" s="83"/>
      <c r="Q111" s="83"/>
      <c r="R111" s="24"/>
      <c r="S111" s="24"/>
      <c r="T111" s="83"/>
      <c r="U111" s="83"/>
      <c r="V111" s="24">
        <v>1</v>
      </c>
      <c r="W111" s="376"/>
      <c r="X111" s="376"/>
      <c r="Z111" s="237">
        <f t="shared" si="9"/>
        <v>0</v>
      </c>
    </row>
    <row r="112" spans="1:26" s="141" customFormat="1" x14ac:dyDescent="0.25">
      <c r="A112" s="186">
        <v>10.199999999999999</v>
      </c>
      <c r="B112" s="110">
        <v>52.47</v>
      </c>
      <c r="C112" s="110">
        <v>2212000</v>
      </c>
      <c r="D112" s="267" t="s">
        <v>95</v>
      </c>
      <c r="E112" s="11"/>
      <c r="F112" s="110">
        <v>796</v>
      </c>
      <c r="G112" s="129" t="s">
        <v>17</v>
      </c>
      <c r="H112" s="129">
        <v>1</v>
      </c>
      <c r="I112" s="151">
        <v>98401</v>
      </c>
      <c r="J112" s="83" t="s">
        <v>429</v>
      </c>
      <c r="K112" s="376"/>
      <c r="L112" s="246" t="str">
        <f t="shared" si="5"/>
        <v>4 квартал 2012</v>
      </c>
      <c r="M112" s="245">
        <v>41244</v>
      </c>
      <c r="N112" s="259"/>
      <c r="O112" s="129"/>
      <c r="P112" s="83"/>
      <c r="Q112" s="83"/>
      <c r="R112" s="24"/>
      <c r="S112" s="24"/>
      <c r="T112" s="83"/>
      <c r="U112" s="83"/>
      <c r="V112" s="24">
        <v>1</v>
      </c>
      <c r="W112" s="376"/>
      <c r="X112" s="376"/>
      <c r="Z112" s="237">
        <f t="shared" si="9"/>
        <v>0</v>
      </c>
    </row>
    <row r="113" spans="1:26" s="141" customFormat="1" x14ac:dyDescent="0.25">
      <c r="A113" s="186">
        <v>10.210000000000001</v>
      </c>
      <c r="B113" s="110">
        <v>52.47</v>
      </c>
      <c r="C113" s="110">
        <v>2212000</v>
      </c>
      <c r="D113" s="267" t="s">
        <v>96</v>
      </c>
      <c r="E113" s="11"/>
      <c r="F113" s="110">
        <v>796</v>
      </c>
      <c r="G113" s="129" t="s">
        <v>17</v>
      </c>
      <c r="H113" s="129">
        <v>1</v>
      </c>
      <c r="I113" s="151">
        <v>98401</v>
      </c>
      <c r="J113" s="83" t="s">
        <v>429</v>
      </c>
      <c r="K113" s="376"/>
      <c r="L113" s="246" t="str">
        <f t="shared" si="5"/>
        <v>4 квартал 2012</v>
      </c>
      <c r="M113" s="245">
        <v>41244</v>
      </c>
      <c r="N113" s="259"/>
      <c r="O113" s="129"/>
      <c r="P113" s="83"/>
      <c r="Q113" s="83"/>
      <c r="R113" s="24"/>
      <c r="S113" s="24"/>
      <c r="T113" s="83"/>
      <c r="U113" s="83"/>
      <c r="V113" s="24">
        <v>1</v>
      </c>
      <c r="W113" s="376"/>
      <c r="X113" s="376"/>
      <c r="Z113" s="237">
        <f t="shared" si="9"/>
        <v>0</v>
      </c>
    </row>
    <row r="114" spans="1:26" s="230" customFormat="1" ht="14.25" x14ac:dyDescent="0.2">
      <c r="A114" s="232">
        <v>11</v>
      </c>
      <c r="B114" s="156"/>
      <c r="C114" s="157"/>
      <c r="D114" s="264" t="s">
        <v>344</v>
      </c>
      <c r="E114" s="159"/>
      <c r="F114" s="159"/>
      <c r="G114" s="160"/>
      <c r="H114" s="160"/>
      <c r="I114" s="161"/>
      <c r="J114" s="162"/>
      <c r="K114" s="162">
        <f>SUM(K115:K119)</f>
        <v>3760062</v>
      </c>
      <c r="L114" s="244"/>
      <c r="M114" s="244"/>
      <c r="N114" s="254"/>
      <c r="O114" s="162"/>
      <c r="P114" s="162">
        <f t="shared" ref="P114:W114" si="11">SUM(P115:P119)</f>
        <v>51</v>
      </c>
      <c r="Q114" s="162">
        <f t="shared" si="11"/>
        <v>2700062</v>
      </c>
      <c r="R114" s="162">
        <f t="shared" si="11"/>
        <v>0</v>
      </c>
      <c r="S114" s="162">
        <f t="shared" si="11"/>
        <v>20000</v>
      </c>
      <c r="T114" s="162">
        <f t="shared" si="11"/>
        <v>0</v>
      </c>
      <c r="U114" s="162">
        <f t="shared" si="11"/>
        <v>20000</v>
      </c>
      <c r="V114" s="162">
        <f t="shared" si="11"/>
        <v>24</v>
      </c>
      <c r="W114" s="162">
        <f t="shared" si="11"/>
        <v>1020000</v>
      </c>
      <c r="X114" s="163"/>
      <c r="Y114" s="231"/>
      <c r="Z114" s="237">
        <f t="shared" si="9"/>
        <v>0</v>
      </c>
    </row>
    <row r="115" spans="1:26" s="141" customFormat="1" x14ac:dyDescent="0.25">
      <c r="A115" s="186">
        <v>11.1</v>
      </c>
      <c r="B115" s="110">
        <v>64</v>
      </c>
      <c r="C115" s="110">
        <v>64</v>
      </c>
      <c r="D115" s="267" t="s">
        <v>97</v>
      </c>
      <c r="E115" s="11"/>
      <c r="F115" s="11">
        <v>362</v>
      </c>
      <c r="G115" s="129" t="s">
        <v>22</v>
      </c>
      <c r="H115" s="129">
        <v>12</v>
      </c>
      <c r="I115" s="151">
        <v>98401</v>
      </c>
      <c r="J115" s="83" t="s">
        <v>429</v>
      </c>
      <c r="K115" s="24">
        <v>370800</v>
      </c>
      <c r="L115" s="246" t="str">
        <f t="shared" si="5"/>
        <v>1 квартал 2012</v>
      </c>
      <c r="M115" s="248"/>
      <c r="N115" s="257"/>
      <c r="O115" s="24"/>
      <c r="P115" s="83">
        <v>12</v>
      </c>
      <c r="Q115" s="83">
        <v>170800</v>
      </c>
      <c r="R115" s="83"/>
      <c r="S115" s="83"/>
      <c r="T115" s="83"/>
      <c r="U115" s="83"/>
      <c r="V115" s="83">
        <v>12</v>
      </c>
      <c r="W115" s="83">
        <v>200000</v>
      </c>
      <c r="X115" s="167"/>
      <c r="Z115" s="237">
        <f t="shared" si="9"/>
        <v>0</v>
      </c>
    </row>
    <row r="116" spans="1:26" s="141" customFormat="1" ht="60" x14ac:dyDescent="0.25">
      <c r="A116" s="186">
        <v>11.2</v>
      </c>
      <c r="B116" s="110">
        <v>64</v>
      </c>
      <c r="C116" s="110">
        <v>64</v>
      </c>
      <c r="D116" s="267" t="s">
        <v>98</v>
      </c>
      <c r="E116" s="11"/>
      <c r="F116" s="11">
        <v>362</v>
      </c>
      <c r="G116" s="129" t="s">
        <v>22</v>
      </c>
      <c r="H116" s="129">
        <v>12</v>
      </c>
      <c r="I116" s="151">
        <v>98200</v>
      </c>
      <c r="J116" s="83" t="s">
        <v>457</v>
      </c>
      <c r="K116" s="24">
        <f>Q116</f>
        <v>1756581</v>
      </c>
      <c r="L116" s="246" t="str">
        <f>IF(Q116&gt;0,"1 квартал 2012",IF(S116&gt;0,"2 квартал 2012",IF(U116&gt;0,"3 квартал 2012","4 квартал 2012")))</f>
        <v>1 квартал 2012</v>
      </c>
      <c r="M116" s="248"/>
      <c r="N116" s="260" t="s">
        <v>504</v>
      </c>
      <c r="O116" s="24"/>
      <c r="P116" s="83">
        <v>12</v>
      </c>
      <c r="Q116" s="83">
        <v>1756581</v>
      </c>
      <c r="R116" s="83"/>
      <c r="S116" s="83"/>
      <c r="T116" s="83"/>
      <c r="U116" s="83"/>
      <c r="V116" s="83"/>
      <c r="W116" s="83"/>
      <c r="X116" s="167"/>
      <c r="Z116" s="237">
        <f t="shared" si="9"/>
        <v>0</v>
      </c>
    </row>
    <row r="117" spans="1:26" s="141" customFormat="1" ht="60" x14ac:dyDescent="0.25">
      <c r="A117" s="186">
        <v>11.3</v>
      </c>
      <c r="B117" s="110" t="s">
        <v>465</v>
      </c>
      <c r="C117" s="110">
        <v>7290000</v>
      </c>
      <c r="D117" s="267" t="s">
        <v>99</v>
      </c>
      <c r="E117" s="11"/>
      <c r="F117" s="11">
        <v>362</v>
      </c>
      <c r="G117" s="129" t="s">
        <v>22</v>
      </c>
      <c r="H117" s="129">
        <v>12</v>
      </c>
      <c r="I117" s="151">
        <v>98200</v>
      </c>
      <c r="J117" s="83" t="s">
        <v>457</v>
      </c>
      <c r="K117" s="24">
        <v>1502531</v>
      </c>
      <c r="L117" s="246" t="str">
        <f>IF(Q117&gt;0,"1 квартал 2012",IF(S117&gt;0,"2 квартал 2012",IF(U117&gt;0,"3 квартал 2012","4 квартал 2012")))</f>
        <v>1 квартал 2012</v>
      </c>
      <c r="M117" s="248"/>
      <c r="N117" s="257"/>
      <c r="O117" s="24"/>
      <c r="P117" s="83">
        <v>12</v>
      </c>
      <c r="Q117" s="83">
        <v>702531</v>
      </c>
      <c r="R117" s="83"/>
      <c r="S117" s="83"/>
      <c r="T117" s="83"/>
      <c r="U117" s="83"/>
      <c r="V117" s="83">
        <v>12</v>
      </c>
      <c r="W117" s="83">
        <v>800000</v>
      </c>
      <c r="X117" s="167"/>
      <c r="Z117" s="237">
        <f t="shared" si="9"/>
        <v>0</v>
      </c>
    </row>
    <row r="118" spans="1:26" s="141" customFormat="1" ht="60" x14ac:dyDescent="0.25">
      <c r="A118" s="186">
        <v>11.4</v>
      </c>
      <c r="B118" s="110" t="s">
        <v>465</v>
      </c>
      <c r="C118" s="110">
        <v>7290000</v>
      </c>
      <c r="D118" s="267" t="s">
        <v>100</v>
      </c>
      <c r="E118" s="11"/>
      <c r="F118" s="110">
        <v>642</v>
      </c>
      <c r="G118" s="129" t="s">
        <v>496</v>
      </c>
      <c r="H118" s="129">
        <v>17</v>
      </c>
      <c r="I118" s="151">
        <v>98200</v>
      </c>
      <c r="J118" s="83" t="s">
        <v>457</v>
      </c>
      <c r="K118" s="24">
        <v>50150</v>
      </c>
      <c r="L118" s="246" t="str">
        <f>IF(Q118&gt;0,"1 квартал 2012",IF(S118&gt;0,"2 квартал 2012",IF(U118&gt;0,"3 квартал 2012","4 квартал 2012")))</f>
        <v>1 квартал 2012</v>
      </c>
      <c r="M118" s="248"/>
      <c r="N118" s="260" t="s">
        <v>504</v>
      </c>
      <c r="O118" s="24"/>
      <c r="P118" s="24">
        <v>15</v>
      </c>
      <c r="Q118" s="24">
        <v>50150</v>
      </c>
      <c r="R118" s="83"/>
      <c r="S118" s="83"/>
      <c r="T118" s="83"/>
      <c r="U118" s="83"/>
      <c r="V118" s="83"/>
      <c r="W118" s="83"/>
      <c r="X118" s="167"/>
      <c r="Z118" s="237">
        <f t="shared" si="9"/>
        <v>0</v>
      </c>
    </row>
    <row r="119" spans="1:26" s="141" customFormat="1" ht="60" x14ac:dyDescent="0.25">
      <c r="A119" s="186">
        <v>11.5</v>
      </c>
      <c r="B119" s="110">
        <v>64.099999999999994</v>
      </c>
      <c r="C119" s="110">
        <v>64</v>
      </c>
      <c r="D119" s="267" t="s">
        <v>356</v>
      </c>
      <c r="E119" s="11"/>
      <c r="F119" s="11"/>
      <c r="G119" s="129"/>
      <c r="H119" s="129"/>
      <c r="I119" s="151">
        <v>98200</v>
      </c>
      <c r="J119" s="83" t="s">
        <v>457</v>
      </c>
      <c r="K119" s="24">
        <v>80000</v>
      </c>
      <c r="L119" s="246" t="str">
        <f>IF(Q119&gt;0,"1 квартал 2012",IF(S119&gt;0,"2 квартал 2012",IF(U119&gt;0,"3 квартал 2012","4 квартал 2012")))</f>
        <v>1 квартал 2012</v>
      </c>
      <c r="M119" s="248"/>
      <c r="N119" s="260" t="s">
        <v>504</v>
      </c>
      <c r="O119" s="24"/>
      <c r="P119" s="24"/>
      <c r="Q119" s="24">
        <v>20000</v>
      </c>
      <c r="R119" s="83"/>
      <c r="S119" s="83">
        <v>20000</v>
      </c>
      <c r="T119" s="83"/>
      <c r="U119" s="83">
        <v>20000</v>
      </c>
      <c r="V119" s="83"/>
      <c r="W119" s="83">
        <v>20000</v>
      </c>
      <c r="X119" s="167"/>
      <c r="Z119" s="237">
        <f t="shared" si="9"/>
        <v>0</v>
      </c>
    </row>
    <row r="120" spans="1:26" s="230" customFormat="1" ht="14.25" x14ac:dyDescent="0.2">
      <c r="A120" s="232">
        <v>12</v>
      </c>
      <c r="B120" s="156"/>
      <c r="C120" s="157"/>
      <c r="D120" s="264" t="s">
        <v>101</v>
      </c>
      <c r="E120" s="159"/>
      <c r="F120" s="159"/>
      <c r="G120" s="160"/>
      <c r="H120" s="160"/>
      <c r="I120" s="161"/>
      <c r="J120" s="162"/>
      <c r="K120" s="162">
        <f>SUM(K121:K133)</f>
        <v>3031810</v>
      </c>
      <c r="L120" s="244"/>
      <c r="M120" s="244"/>
      <c r="N120" s="254"/>
      <c r="O120" s="162"/>
      <c r="P120" s="162">
        <f t="shared" ref="P120:W120" si="12">SUM(P121:P133)</f>
        <v>30</v>
      </c>
      <c r="Q120" s="162">
        <f t="shared" si="12"/>
        <v>519500</v>
      </c>
      <c r="R120" s="162">
        <f t="shared" si="12"/>
        <v>2</v>
      </c>
      <c r="S120" s="162">
        <f t="shared" si="12"/>
        <v>15000</v>
      </c>
      <c r="T120" s="162">
        <f t="shared" si="12"/>
        <v>47</v>
      </c>
      <c r="U120" s="162">
        <f t="shared" si="12"/>
        <v>1459149</v>
      </c>
      <c r="V120" s="162">
        <f t="shared" si="12"/>
        <v>31</v>
      </c>
      <c r="W120" s="162">
        <f t="shared" si="12"/>
        <v>1038161</v>
      </c>
      <c r="X120" s="163"/>
      <c r="Y120" s="231"/>
      <c r="Z120" s="237">
        <f t="shared" si="9"/>
        <v>0</v>
      </c>
    </row>
    <row r="121" spans="1:26" s="141" customFormat="1" ht="24.75" x14ac:dyDescent="0.25">
      <c r="A121" s="186">
        <v>12.1</v>
      </c>
      <c r="B121" s="165" t="s">
        <v>425</v>
      </c>
      <c r="C121" s="110">
        <v>8090010</v>
      </c>
      <c r="D121" s="265" t="s">
        <v>102</v>
      </c>
      <c r="E121" s="11"/>
      <c r="F121" s="114">
        <v>792</v>
      </c>
      <c r="G121" s="129" t="s">
        <v>103</v>
      </c>
      <c r="H121" s="129">
        <v>29</v>
      </c>
      <c r="I121" s="151">
        <v>98401</v>
      </c>
      <c r="J121" s="83" t="s">
        <v>429</v>
      </c>
      <c r="K121" s="24">
        <v>507500</v>
      </c>
      <c r="L121" s="246" t="str">
        <f t="shared" ref="L121:L133" si="13">IF(Q121&gt;0,"1 квартал 2012",IF(S121&gt;0,"2 квартал 2012",IF(U121&gt;0,"3 квартал 2012","4 квартал 2012")))</f>
        <v>1 квартал 2012</v>
      </c>
      <c r="M121" s="248"/>
      <c r="N121" s="257"/>
      <c r="O121" s="24"/>
      <c r="P121" s="83">
        <v>29</v>
      </c>
      <c r="Q121" s="83">
        <v>507500</v>
      </c>
      <c r="R121" s="83"/>
      <c r="S121" s="83"/>
      <c r="T121" s="83"/>
      <c r="U121" s="83"/>
      <c r="V121" s="83"/>
      <c r="W121" s="83"/>
      <c r="X121" s="167"/>
      <c r="Z121" s="237">
        <f t="shared" si="9"/>
        <v>0</v>
      </c>
    </row>
    <row r="122" spans="1:26" s="141" customFormat="1" ht="36.75" x14ac:dyDescent="0.25">
      <c r="A122" s="186">
        <v>12.2</v>
      </c>
      <c r="B122" s="165" t="s">
        <v>425</v>
      </c>
      <c r="C122" s="110">
        <v>8090010</v>
      </c>
      <c r="D122" s="265" t="s">
        <v>104</v>
      </c>
      <c r="E122" s="11"/>
      <c r="F122" s="114">
        <v>792</v>
      </c>
      <c r="G122" s="129" t="s">
        <v>103</v>
      </c>
      <c r="H122" s="129">
        <v>4</v>
      </c>
      <c r="I122" s="151">
        <v>98401</v>
      </c>
      <c r="J122" s="83" t="s">
        <v>429</v>
      </c>
      <c r="K122" s="24">
        <v>40000</v>
      </c>
      <c r="L122" s="246" t="str">
        <f t="shared" si="13"/>
        <v>4 квартал 2012</v>
      </c>
      <c r="M122" s="245">
        <v>41244</v>
      </c>
      <c r="N122" s="257"/>
      <c r="O122" s="24"/>
      <c r="P122" s="83"/>
      <c r="Q122" s="83"/>
      <c r="R122" s="83"/>
      <c r="S122" s="83"/>
      <c r="T122" s="83"/>
      <c r="U122" s="83"/>
      <c r="V122" s="83">
        <v>3</v>
      </c>
      <c r="W122" s="83">
        <v>40000</v>
      </c>
      <c r="X122" s="167"/>
      <c r="Z122" s="237">
        <f t="shared" si="9"/>
        <v>0</v>
      </c>
    </row>
    <row r="123" spans="1:26" s="141" customFormat="1" ht="24.75" x14ac:dyDescent="0.25">
      <c r="A123" s="186">
        <v>12.3</v>
      </c>
      <c r="B123" s="165" t="s">
        <v>425</v>
      </c>
      <c r="C123" s="110">
        <v>8090010</v>
      </c>
      <c r="D123" s="265" t="s">
        <v>105</v>
      </c>
      <c r="E123" s="11"/>
      <c r="F123" s="114">
        <v>792</v>
      </c>
      <c r="G123" s="129" t="s">
        <v>103</v>
      </c>
      <c r="H123" s="129">
        <v>39</v>
      </c>
      <c r="I123" s="151">
        <v>98401</v>
      </c>
      <c r="J123" s="83" t="s">
        <v>429</v>
      </c>
      <c r="K123" s="24">
        <v>1170000</v>
      </c>
      <c r="L123" s="246" t="str">
        <f t="shared" si="13"/>
        <v>3 квартал 2012</v>
      </c>
      <c r="M123" s="248"/>
      <c r="N123" s="257"/>
      <c r="O123" s="24"/>
      <c r="P123" s="83"/>
      <c r="Q123" s="83"/>
      <c r="R123" s="83"/>
      <c r="S123" s="83"/>
      <c r="T123" s="83">
        <v>39</v>
      </c>
      <c r="U123" s="83">
        <v>1170000</v>
      </c>
      <c r="V123" s="83"/>
      <c r="W123" s="83"/>
      <c r="X123" s="167"/>
      <c r="Z123" s="237">
        <f t="shared" si="9"/>
        <v>0</v>
      </c>
    </row>
    <row r="124" spans="1:26" s="141" customFormat="1" ht="36.75" x14ac:dyDescent="0.25">
      <c r="A124" s="186">
        <v>12.4</v>
      </c>
      <c r="B124" s="165" t="s">
        <v>425</v>
      </c>
      <c r="C124" s="110">
        <v>8090010</v>
      </c>
      <c r="D124" s="265" t="s">
        <v>106</v>
      </c>
      <c r="E124" s="11"/>
      <c r="F124" s="114">
        <v>792</v>
      </c>
      <c r="G124" s="129" t="s">
        <v>103</v>
      </c>
      <c r="H124" s="129">
        <v>3</v>
      </c>
      <c r="I124" s="151">
        <v>98401</v>
      </c>
      <c r="J124" s="83" t="s">
        <v>429</v>
      </c>
      <c r="K124" s="24">
        <v>132700</v>
      </c>
      <c r="L124" s="246" t="str">
        <f t="shared" si="13"/>
        <v>3 квартал 2012</v>
      </c>
      <c r="M124" s="248"/>
      <c r="N124" s="257"/>
      <c r="O124" s="24"/>
      <c r="P124" s="83"/>
      <c r="Q124" s="83"/>
      <c r="R124" s="83"/>
      <c r="S124" s="83"/>
      <c r="T124" s="83">
        <v>3</v>
      </c>
      <c r="U124" s="83">
        <v>132700</v>
      </c>
      <c r="V124" s="83"/>
      <c r="W124" s="83"/>
      <c r="X124" s="167"/>
      <c r="Z124" s="237">
        <f t="shared" si="9"/>
        <v>0</v>
      </c>
    </row>
    <row r="125" spans="1:26" s="141" customFormat="1" ht="24.75" x14ac:dyDescent="0.25">
      <c r="A125" s="186">
        <v>12.5</v>
      </c>
      <c r="B125" s="165" t="s">
        <v>425</v>
      </c>
      <c r="C125" s="110">
        <v>8090010</v>
      </c>
      <c r="D125" s="265" t="s">
        <v>107</v>
      </c>
      <c r="E125" s="11"/>
      <c r="F125" s="114">
        <v>792</v>
      </c>
      <c r="G125" s="129" t="s">
        <v>103</v>
      </c>
      <c r="H125" s="129">
        <v>4</v>
      </c>
      <c r="I125" s="151">
        <v>98401</v>
      </c>
      <c r="J125" s="83" t="s">
        <v>429</v>
      </c>
      <c r="K125" s="24">
        <v>112000</v>
      </c>
      <c r="L125" s="246" t="str">
        <f t="shared" si="13"/>
        <v>1 квартал 2012</v>
      </c>
      <c r="M125" s="248"/>
      <c r="N125" s="257"/>
      <c r="O125" s="24"/>
      <c r="P125" s="83">
        <v>1</v>
      </c>
      <c r="Q125" s="83">
        <v>12000</v>
      </c>
      <c r="R125" s="83"/>
      <c r="S125" s="83"/>
      <c r="T125" s="83"/>
      <c r="U125" s="83"/>
      <c r="V125" s="83">
        <v>3</v>
      </c>
      <c r="W125" s="83">
        <v>100000</v>
      </c>
      <c r="X125" s="167"/>
      <c r="Z125" s="237">
        <f t="shared" si="9"/>
        <v>0</v>
      </c>
    </row>
    <row r="126" spans="1:26" s="141" customFormat="1" ht="24.75" x14ac:dyDescent="0.25">
      <c r="A126" s="186">
        <v>12.6</v>
      </c>
      <c r="B126" s="165" t="s">
        <v>425</v>
      </c>
      <c r="C126" s="110">
        <v>8090010</v>
      </c>
      <c r="D126" s="265" t="s">
        <v>108</v>
      </c>
      <c r="E126" s="11"/>
      <c r="F126" s="114">
        <v>792</v>
      </c>
      <c r="G126" s="129" t="s">
        <v>103</v>
      </c>
      <c r="H126" s="129">
        <v>8</v>
      </c>
      <c r="I126" s="151">
        <v>98401</v>
      </c>
      <c r="J126" s="83" t="s">
        <v>429</v>
      </c>
      <c r="K126" s="24">
        <v>256449</v>
      </c>
      <c r="L126" s="246" t="str">
        <f t="shared" si="13"/>
        <v>3 квартал 2012</v>
      </c>
      <c r="M126" s="248"/>
      <c r="N126" s="257"/>
      <c r="O126" s="24"/>
      <c r="P126" s="83"/>
      <c r="Q126" s="83"/>
      <c r="R126" s="83"/>
      <c r="S126" s="83"/>
      <c r="T126" s="83">
        <v>5</v>
      </c>
      <c r="U126" s="83">
        <v>156449</v>
      </c>
      <c r="V126" s="83">
        <v>3</v>
      </c>
      <c r="W126" s="83">
        <v>100000</v>
      </c>
      <c r="X126" s="167"/>
      <c r="Z126" s="237">
        <f t="shared" si="9"/>
        <v>0</v>
      </c>
    </row>
    <row r="127" spans="1:26" s="141" customFormat="1" ht="24.75" x14ac:dyDescent="0.25">
      <c r="A127" s="186">
        <v>12.7</v>
      </c>
      <c r="B127" s="165" t="s">
        <v>425</v>
      </c>
      <c r="C127" s="110">
        <v>8090010</v>
      </c>
      <c r="D127" s="265" t="s">
        <v>109</v>
      </c>
      <c r="E127" s="11"/>
      <c r="F127" s="114">
        <v>792</v>
      </c>
      <c r="G127" s="129" t="s">
        <v>103</v>
      </c>
      <c r="H127" s="129">
        <v>2</v>
      </c>
      <c r="I127" s="151">
        <v>98401</v>
      </c>
      <c r="J127" s="83" t="s">
        <v>429</v>
      </c>
      <c r="K127" s="24">
        <v>48000</v>
      </c>
      <c r="L127" s="246" t="str">
        <f t="shared" si="13"/>
        <v>2 квартал 2012</v>
      </c>
      <c r="M127" s="248"/>
      <c r="N127" s="257"/>
      <c r="O127" s="24"/>
      <c r="P127" s="83"/>
      <c r="Q127" s="83"/>
      <c r="R127" s="83">
        <v>1</v>
      </c>
      <c r="S127" s="83">
        <v>8000</v>
      </c>
      <c r="T127" s="83"/>
      <c r="U127" s="83"/>
      <c r="V127" s="83">
        <v>1</v>
      </c>
      <c r="W127" s="83">
        <v>40000</v>
      </c>
      <c r="X127" s="167"/>
      <c r="Z127" s="237">
        <f t="shared" si="9"/>
        <v>0</v>
      </c>
    </row>
    <row r="128" spans="1:26" s="141" customFormat="1" ht="36.75" x14ac:dyDescent="0.25">
      <c r="A128" s="186">
        <v>12.8</v>
      </c>
      <c r="B128" s="165" t="s">
        <v>425</v>
      </c>
      <c r="C128" s="110">
        <v>8090010</v>
      </c>
      <c r="D128" s="265" t="s">
        <v>110</v>
      </c>
      <c r="E128" s="11"/>
      <c r="F128" s="114">
        <v>792</v>
      </c>
      <c r="G128" s="129" t="s">
        <v>103</v>
      </c>
      <c r="H128" s="129">
        <v>2</v>
      </c>
      <c r="I128" s="151">
        <v>98401</v>
      </c>
      <c r="J128" s="83" t="s">
        <v>429</v>
      </c>
      <c r="K128" s="24">
        <v>14000</v>
      </c>
      <c r="L128" s="246" t="str">
        <f t="shared" si="13"/>
        <v>2 квартал 2012</v>
      </c>
      <c r="M128" s="248"/>
      <c r="N128" s="257"/>
      <c r="O128" s="24"/>
      <c r="P128" s="83"/>
      <c r="Q128" s="83"/>
      <c r="R128" s="83">
        <v>1</v>
      </c>
      <c r="S128" s="83">
        <v>7000</v>
      </c>
      <c r="T128" s="83"/>
      <c r="U128" s="83"/>
      <c r="V128" s="83">
        <v>1</v>
      </c>
      <c r="W128" s="83">
        <v>7000</v>
      </c>
      <c r="X128" s="167"/>
      <c r="Z128" s="237">
        <f t="shared" si="9"/>
        <v>0</v>
      </c>
    </row>
    <row r="129" spans="1:26" s="141" customFormat="1" ht="72.75" x14ac:dyDescent="0.25">
      <c r="A129" s="186">
        <v>12.9</v>
      </c>
      <c r="B129" s="165" t="s">
        <v>425</v>
      </c>
      <c r="C129" s="110">
        <v>8090010</v>
      </c>
      <c r="D129" s="265" t="s">
        <v>111</v>
      </c>
      <c r="E129" s="114"/>
      <c r="F129" s="114">
        <v>792</v>
      </c>
      <c r="G129" s="129" t="s">
        <v>103</v>
      </c>
      <c r="H129" s="129">
        <v>2</v>
      </c>
      <c r="I129" s="151">
        <v>98401</v>
      </c>
      <c r="J129" s="83" t="s">
        <v>429</v>
      </c>
      <c r="K129" s="24">
        <v>60000</v>
      </c>
      <c r="L129" s="246" t="str">
        <f t="shared" si="13"/>
        <v>4 квартал 2012</v>
      </c>
      <c r="M129" s="245">
        <v>41244</v>
      </c>
      <c r="N129" s="257"/>
      <c r="O129" s="24"/>
      <c r="P129" s="83"/>
      <c r="Q129" s="83"/>
      <c r="R129" s="83"/>
      <c r="S129" s="83"/>
      <c r="T129" s="83"/>
      <c r="U129" s="83"/>
      <c r="V129" s="83">
        <v>2</v>
      </c>
      <c r="W129" s="83">
        <v>60000</v>
      </c>
      <c r="X129" s="167"/>
      <c r="Z129" s="237">
        <f t="shared" si="9"/>
        <v>0</v>
      </c>
    </row>
    <row r="130" spans="1:26" s="141" customFormat="1" ht="72.75" x14ac:dyDescent="0.25">
      <c r="A130" s="186"/>
      <c r="B130" s="165" t="s">
        <v>425</v>
      </c>
      <c r="C130" s="110">
        <v>8090010</v>
      </c>
      <c r="D130" s="268" t="s">
        <v>466</v>
      </c>
      <c r="E130" s="114" t="s">
        <v>467</v>
      </c>
      <c r="F130" s="114">
        <v>792</v>
      </c>
      <c r="G130" s="129" t="s">
        <v>103</v>
      </c>
      <c r="H130" s="129">
        <v>2</v>
      </c>
      <c r="I130" s="151">
        <v>98401</v>
      </c>
      <c r="J130" s="83" t="s">
        <v>429</v>
      </c>
      <c r="K130" s="24">
        <v>53181</v>
      </c>
      <c r="L130" s="246" t="str">
        <f t="shared" si="13"/>
        <v>4 квартал 2012</v>
      </c>
      <c r="M130" s="245">
        <v>41244</v>
      </c>
      <c r="N130" s="257"/>
      <c r="O130" s="24"/>
      <c r="P130" s="83"/>
      <c r="Q130" s="83"/>
      <c r="R130" s="83"/>
      <c r="S130" s="83"/>
      <c r="T130" s="83"/>
      <c r="U130" s="83"/>
      <c r="V130" s="83">
        <f>H130</f>
        <v>2</v>
      </c>
      <c r="W130" s="83">
        <f>K130</f>
        <v>53181</v>
      </c>
      <c r="X130" s="167"/>
      <c r="Z130" s="237">
        <f t="shared" si="9"/>
        <v>0</v>
      </c>
    </row>
    <row r="131" spans="1:26" s="141" customFormat="1" ht="48.75" x14ac:dyDescent="0.25">
      <c r="A131" s="186"/>
      <c r="B131" s="165" t="s">
        <v>425</v>
      </c>
      <c r="C131" s="110">
        <v>8090010</v>
      </c>
      <c r="D131" s="268" t="s">
        <v>468</v>
      </c>
      <c r="E131" s="114" t="s">
        <v>467</v>
      </c>
      <c r="F131" s="114">
        <v>792</v>
      </c>
      <c r="G131" s="129" t="s">
        <v>103</v>
      </c>
      <c r="H131" s="129">
        <v>2</v>
      </c>
      <c r="I131" s="151">
        <v>98401</v>
      </c>
      <c r="J131" s="83" t="s">
        <v>429</v>
      </c>
      <c r="K131" s="24">
        <v>87980</v>
      </c>
      <c r="L131" s="246" t="str">
        <f t="shared" si="13"/>
        <v>4 квартал 2012</v>
      </c>
      <c r="M131" s="245">
        <v>41244</v>
      </c>
      <c r="N131" s="257"/>
      <c r="O131" s="24"/>
      <c r="P131" s="83"/>
      <c r="Q131" s="83"/>
      <c r="R131" s="83"/>
      <c r="S131" s="83"/>
      <c r="T131" s="83"/>
      <c r="U131" s="83"/>
      <c r="V131" s="83">
        <f>H131</f>
        <v>2</v>
      </c>
      <c r="W131" s="83">
        <f>K131</f>
        <v>87980</v>
      </c>
      <c r="X131" s="167"/>
      <c r="Z131" s="237">
        <f t="shared" si="9"/>
        <v>0</v>
      </c>
    </row>
    <row r="132" spans="1:26" s="141" customFormat="1" x14ac:dyDescent="0.25">
      <c r="A132" s="186">
        <v>12.1</v>
      </c>
      <c r="B132" s="165" t="s">
        <v>425</v>
      </c>
      <c r="C132" s="110">
        <v>8090010</v>
      </c>
      <c r="D132" s="268" t="s">
        <v>361</v>
      </c>
      <c r="E132" s="114" t="s">
        <v>469</v>
      </c>
      <c r="F132" s="114">
        <v>792</v>
      </c>
      <c r="G132" s="129" t="s">
        <v>103</v>
      </c>
      <c r="H132" s="129">
        <v>4</v>
      </c>
      <c r="I132" s="151">
        <v>98401</v>
      </c>
      <c r="J132" s="83" t="s">
        <v>429</v>
      </c>
      <c r="K132" s="24">
        <v>150000</v>
      </c>
      <c r="L132" s="246" t="str">
        <f t="shared" si="13"/>
        <v>4 квартал 2012</v>
      </c>
      <c r="M132" s="245">
        <v>41244</v>
      </c>
      <c r="N132" s="257"/>
      <c r="O132" s="24"/>
      <c r="P132" s="83"/>
      <c r="Q132" s="83"/>
      <c r="R132" s="83"/>
      <c r="S132" s="83"/>
      <c r="T132" s="83"/>
      <c r="U132" s="83"/>
      <c r="V132" s="83">
        <v>4</v>
      </c>
      <c r="W132" s="83">
        <v>150000</v>
      </c>
      <c r="X132" s="167"/>
      <c r="Z132" s="237">
        <f t="shared" si="9"/>
        <v>0</v>
      </c>
    </row>
    <row r="133" spans="1:26" s="141" customFormat="1" ht="24.75" x14ac:dyDescent="0.25">
      <c r="A133" s="186">
        <v>12.11</v>
      </c>
      <c r="B133" s="165" t="s">
        <v>425</v>
      </c>
      <c r="C133" s="110">
        <v>8090010</v>
      </c>
      <c r="D133" s="265" t="s">
        <v>362</v>
      </c>
      <c r="E133" s="114"/>
      <c r="F133" s="114">
        <v>792</v>
      </c>
      <c r="G133" s="129" t="s">
        <v>103</v>
      </c>
      <c r="H133" s="129">
        <v>10</v>
      </c>
      <c r="I133" s="151">
        <v>98401</v>
      </c>
      <c r="J133" s="83" t="s">
        <v>429</v>
      </c>
      <c r="K133" s="24">
        <v>400000</v>
      </c>
      <c r="L133" s="246" t="str">
        <f t="shared" si="13"/>
        <v>4 квартал 2012</v>
      </c>
      <c r="M133" s="245">
        <v>41244</v>
      </c>
      <c r="N133" s="257"/>
      <c r="O133" s="24"/>
      <c r="P133" s="83"/>
      <c r="Q133" s="83"/>
      <c r="R133" s="83"/>
      <c r="S133" s="83"/>
      <c r="T133" s="83"/>
      <c r="U133" s="83"/>
      <c r="V133" s="83">
        <v>10</v>
      </c>
      <c r="W133" s="83">
        <v>400000</v>
      </c>
      <c r="X133" s="167"/>
      <c r="Z133" s="237">
        <f t="shared" si="9"/>
        <v>0</v>
      </c>
    </row>
    <row r="134" spans="1:26" s="230" customFormat="1" ht="14.25" x14ac:dyDescent="0.2">
      <c r="A134" s="232"/>
      <c r="B134" s="156"/>
      <c r="C134" s="157"/>
      <c r="D134" s="264" t="s">
        <v>112</v>
      </c>
      <c r="E134" s="159"/>
      <c r="F134" s="159"/>
      <c r="G134" s="160"/>
      <c r="H134" s="160"/>
      <c r="I134" s="161"/>
      <c r="J134" s="162"/>
      <c r="K134" s="162"/>
      <c r="L134" s="244"/>
      <c r="M134" s="244"/>
      <c r="N134" s="254"/>
      <c r="O134" s="162"/>
      <c r="P134" s="162"/>
      <c r="Q134" s="162"/>
      <c r="R134" s="162"/>
      <c r="S134" s="162"/>
      <c r="T134" s="162"/>
      <c r="U134" s="162"/>
      <c r="V134" s="162"/>
      <c r="W134" s="162"/>
      <c r="X134" s="163"/>
      <c r="Y134" s="231"/>
      <c r="Z134" s="237">
        <f t="shared" si="9"/>
        <v>0</v>
      </c>
    </row>
    <row r="135" spans="1:26" s="230" customFormat="1" ht="14.25" x14ac:dyDescent="0.2">
      <c r="A135" s="232">
        <v>15</v>
      </c>
      <c r="B135" s="156"/>
      <c r="C135" s="157"/>
      <c r="D135" s="264" t="s">
        <v>113</v>
      </c>
      <c r="E135" s="159"/>
      <c r="F135" s="159"/>
      <c r="G135" s="160"/>
      <c r="H135" s="160">
        <f>SUM(H136:H150)</f>
        <v>2157</v>
      </c>
      <c r="I135" s="160">
        <f>SUM(I136:I150)</f>
        <v>786501982</v>
      </c>
      <c r="J135" s="160">
        <f>SUM(J136:J150)</f>
        <v>0</v>
      </c>
      <c r="K135" s="160">
        <f>SUM(K136:K150)</f>
        <v>177087.93580000001</v>
      </c>
      <c r="L135" s="244"/>
      <c r="M135" s="244"/>
      <c r="N135" s="254"/>
      <c r="O135" s="162"/>
      <c r="P135" s="162">
        <f t="shared" ref="P135:W135" si="14">SUM(P136:P150)</f>
        <v>2157</v>
      </c>
      <c r="Q135" s="162">
        <f t="shared" si="14"/>
        <v>177087.93580000001</v>
      </c>
      <c r="R135" s="162">
        <f t="shared" si="14"/>
        <v>0</v>
      </c>
      <c r="S135" s="162">
        <f t="shared" si="14"/>
        <v>0</v>
      </c>
      <c r="T135" s="162">
        <f t="shared" si="14"/>
        <v>0</v>
      </c>
      <c r="U135" s="162">
        <f t="shared" si="14"/>
        <v>0</v>
      </c>
      <c r="V135" s="162">
        <f t="shared" si="14"/>
        <v>0</v>
      </c>
      <c r="W135" s="162">
        <f t="shared" si="14"/>
        <v>0</v>
      </c>
      <c r="X135" s="163"/>
      <c r="Y135" s="231"/>
      <c r="Z135" s="237">
        <f t="shared" si="9"/>
        <v>0</v>
      </c>
    </row>
    <row r="136" spans="1:26" s="141" customFormat="1" ht="32.25" x14ac:dyDescent="0.25">
      <c r="A136" s="186">
        <v>15.1</v>
      </c>
      <c r="B136" s="165" t="s">
        <v>408</v>
      </c>
      <c r="C136" s="110">
        <v>4110000</v>
      </c>
      <c r="D136" s="267" t="s">
        <v>488</v>
      </c>
      <c r="E136" s="11"/>
      <c r="F136" s="11">
        <v>113</v>
      </c>
      <c r="G136" s="81" t="s">
        <v>489</v>
      </c>
      <c r="H136" s="129">
        <v>12</v>
      </c>
      <c r="I136" s="151">
        <v>98231552</v>
      </c>
      <c r="J136" s="24" t="s">
        <v>432</v>
      </c>
      <c r="K136" s="188">
        <f>Q136</f>
        <v>1138</v>
      </c>
      <c r="L136" s="246" t="str">
        <f t="shared" ref="L136:L150" si="15">IF(Q136&gt;0,"1 квартал 2012",IF(S136&gt;0,"2 квартал 2012",IF(U136&gt;0,"3 квартал 2012","4 квартал 2012")))</f>
        <v>1 квартал 2012</v>
      </c>
      <c r="M136" s="245">
        <v>41244</v>
      </c>
      <c r="N136" s="260" t="s">
        <v>504</v>
      </c>
      <c r="O136" s="43"/>
      <c r="P136" s="83">
        <f>H136</f>
        <v>12</v>
      </c>
      <c r="Q136" s="83">
        <v>1138</v>
      </c>
      <c r="R136" s="83"/>
      <c r="S136" s="83"/>
      <c r="T136" s="83"/>
      <c r="U136" s="83"/>
      <c r="V136" s="83"/>
      <c r="W136" s="83"/>
      <c r="X136" s="167"/>
      <c r="Z136" s="237">
        <f t="shared" si="9"/>
        <v>0</v>
      </c>
    </row>
    <row r="137" spans="1:26" s="141" customFormat="1" ht="32.25" x14ac:dyDescent="0.25">
      <c r="A137" s="186">
        <v>15.2</v>
      </c>
      <c r="B137" s="165" t="s">
        <v>408</v>
      </c>
      <c r="C137" s="110">
        <v>4110000</v>
      </c>
      <c r="D137" s="269" t="s">
        <v>115</v>
      </c>
      <c r="E137" s="228"/>
      <c r="F137" s="11">
        <v>113</v>
      </c>
      <c r="G137" s="81" t="s">
        <v>489</v>
      </c>
      <c r="H137" s="129">
        <v>8</v>
      </c>
      <c r="I137" s="151">
        <v>98201551</v>
      </c>
      <c r="J137" s="24" t="s">
        <v>433</v>
      </c>
      <c r="K137" s="188">
        <f>Q137</f>
        <v>1703</v>
      </c>
      <c r="L137" s="246" t="str">
        <f t="shared" si="15"/>
        <v>1 квартал 2012</v>
      </c>
      <c r="M137" s="245">
        <v>41244</v>
      </c>
      <c r="N137" s="260" t="s">
        <v>504</v>
      </c>
      <c r="O137" s="188"/>
      <c r="P137" s="83">
        <f t="shared" ref="P137:P150" si="16">H137</f>
        <v>8</v>
      </c>
      <c r="Q137" s="188">
        <v>1703</v>
      </c>
      <c r="R137" s="83"/>
      <c r="S137" s="83"/>
      <c r="T137" s="83"/>
      <c r="U137" s="83"/>
      <c r="V137" s="83"/>
      <c r="W137" s="83"/>
      <c r="X137" s="167"/>
      <c r="Z137" s="237">
        <f t="shared" si="9"/>
        <v>0</v>
      </c>
    </row>
    <row r="138" spans="1:26" s="141" customFormat="1" ht="32.25" x14ac:dyDescent="0.25">
      <c r="A138" s="186">
        <v>15.3</v>
      </c>
      <c r="B138" s="165" t="s">
        <v>408</v>
      </c>
      <c r="C138" s="110">
        <v>4110000</v>
      </c>
      <c r="D138" s="269" t="s">
        <v>116</v>
      </c>
      <c r="E138" s="228"/>
      <c r="F138" s="11">
        <v>113</v>
      </c>
      <c r="G138" s="81" t="s">
        <v>489</v>
      </c>
      <c r="H138" s="129">
        <v>12</v>
      </c>
      <c r="I138" s="151">
        <v>98401554</v>
      </c>
      <c r="J138" s="24" t="s">
        <v>437</v>
      </c>
      <c r="K138" s="188">
        <f>Q138</f>
        <v>650</v>
      </c>
      <c r="L138" s="246" t="str">
        <f t="shared" si="15"/>
        <v>1 квартал 2012</v>
      </c>
      <c r="M138" s="245">
        <v>41244</v>
      </c>
      <c r="N138" s="260" t="s">
        <v>504</v>
      </c>
      <c r="O138" s="188"/>
      <c r="P138" s="83">
        <f t="shared" si="16"/>
        <v>12</v>
      </c>
      <c r="Q138" s="83">
        <v>650</v>
      </c>
      <c r="R138" s="83"/>
      <c r="S138" s="83"/>
      <c r="T138" s="83"/>
      <c r="U138" s="83"/>
      <c r="V138" s="83"/>
      <c r="W138" s="83"/>
      <c r="X138" s="167"/>
      <c r="Z138" s="237">
        <f t="shared" si="9"/>
        <v>0</v>
      </c>
    </row>
    <row r="139" spans="1:26" s="141" customFormat="1" ht="32.25" x14ac:dyDescent="0.25">
      <c r="A139" s="186">
        <v>15.4</v>
      </c>
      <c r="B139" s="165" t="s">
        <v>408</v>
      </c>
      <c r="C139" s="110">
        <v>4110000</v>
      </c>
      <c r="D139" s="269" t="s">
        <v>117</v>
      </c>
      <c r="E139" s="228"/>
      <c r="F139" s="11">
        <v>113</v>
      </c>
      <c r="G139" s="81" t="s">
        <v>489</v>
      </c>
      <c r="H139" s="129">
        <v>2</v>
      </c>
      <c r="I139" s="151">
        <v>98222</v>
      </c>
      <c r="J139" s="24" t="s">
        <v>438</v>
      </c>
      <c r="K139" s="188">
        <f>Q139</f>
        <v>376</v>
      </c>
      <c r="L139" s="246" t="str">
        <f t="shared" si="15"/>
        <v>1 квартал 2012</v>
      </c>
      <c r="M139" s="245">
        <v>41244</v>
      </c>
      <c r="N139" s="260" t="s">
        <v>504</v>
      </c>
      <c r="O139" s="188"/>
      <c r="P139" s="83">
        <f t="shared" si="16"/>
        <v>2</v>
      </c>
      <c r="Q139" s="83">
        <v>376</v>
      </c>
      <c r="R139" s="83"/>
      <c r="S139" s="83"/>
      <c r="T139" s="83"/>
      <c r="U139" s="83"/>
      <c r="V139" s="83"/>
      <c r="W139" s="83"/>
      <c r="X139" s="167"/>
      <c r="Z139" s="237">
        <f t="shared" si="9"/>
        <v>0</v>
      </c>
    </row>
    <row r="140" spans="1:26" s="141" customFormat="1" ht="32.25" x14ac:dyDescent="0.25">
      <c r="A140" s="186">
        <v>15.5</v>
      </c>
      <c r="B140" s="165" t="s">
        <v>408</v>
      </c>
      <c r="C140" s="110"/>
      <c r="D140" s="269" t="s">
        <v>118</v>
      </c>
      <c r="E140" s="228"/>
      <c r="F140" s="11">
        <v>113</v>
      </c>
      <c r="G140" s="81" t="s">
        <v>489</v>
      </c>
      <c r="H140" s="129">
        <v>12</v>
      </c>
      <c r="I140" s="151">
        <v>98224551</v>
      </c>
      <c r="J140" s="24" t="s">
        <v>436</v>
      </c>
      <c r="K140" s="188">
        <f>Q140</f>
        <v>3178</v>
      </c>
      <c r="L140" s="246" t="str">
        <f t="shared" si="15"/>
        <v>1 квартал 2012</v>
      </c>
      <c r="M140" s="245">
        <v>41244</v>
      </c>
      <c r="N140" s="260" t="s">
        <v>504</v>
      </c>
      <c r="O140" s="188"/>
      <c r="P140" s="83">
        <f t="shared" si="16"/>
        <v>12</v>
      </c>
      <c r="Q140" s="83">
        <v>3178</v>
      </c>
      <c r="R140" s="83"/>
      <c r="S140" s="83"/>
      <c r="T140" s="83"/>
      <c r="U140" s="83"/>
      <c r="V140" s="83"/>
      <c r="W140" s="83"/>
      <c r="X140" s="167"/>
      <c r="Z140" s="237">
        <f t="shared" si="9"/>
        <v>0</v>
      </c>
    </row>
    <row r="141" spans="1:26" s="141" customFormat="1" ht="32.25" x14ac:dyDescent="0.25">
      <c r="A141" s="186">
        <v>15.6</v>
      </c>
      <c r="B141" s="165" t="s">
        <v>408</v>
      </c>
      <c r="C141" s="110">
        <v>4110000</v>
      </c>
      <c r="D141" s="269" t="s">
        <v>119</v>
      </c>
      <c r="E141" s="228"/>
      <c r="F141" s="11">
        <v>113</v>
      </c>
      <c r="G141" s="81" t="s">
        <v>489</v>
      </c>
      <c r="H141" s="129">
        <v>74</v>
      </c>
      <c r="I141" s="151">
        <v>98227501</v>
      </c>
      <c r="J141" s="24" t="s">
        <v>430</v>
      </c>
      <c r="K141" s="188">
        <f t="shared" ref="K141:K150" si="17">Q141</f>
        <v>17622</v>
      </c>
      <c r="L141" s="246" t="str">
        <f t="shared" si="15"/>
        <v>1 квартал 2012</v>
      </c>
      <c r="M141" s="245">
        <v>41244</v>
      </c>
      <c r="N141" s="260" t="s">
        <v>504</v>
      </c>
      <c r="O141" s="188"/>
      <c r="P141" s="83">
        <f t="shared" si="16"/>
        <v>74</v>
      </c>
      <c r="Q141" s="83">
        <v>17622</v>
      </c>
      <c r="R141" s="83"/>
      <c r="S141" s="83"/>
      <c r="T141" s="83"/>
      <c r="U141" s="83"/>
      <c r="V141" s="83"/>
      <c r="W141" s="83"/>
      <c r="X141" s="167"/>
      <c r="Z141" s="237">
        <f t="shared" si="9"/>
        <v>0</v>
      </c>
    </row>
    <row r="142" spans="1:26" s="141" customFormat="1" ht="32.25" x14ac:dyDescent="0.25">
      <c r="A142" s="186">
        <v>15.7</v>
      </c>
      <c r="B142" s="165" t="s">
        <v>408</v>
      </c>
      <c r="C142" s="110">
        <v>4110000</v>
      </c>
      <c r="D142" s="269" t="s">
        <v>120</v>
      </c>
      <c r="E142" s="228"/>
      <c r="F142" s="11">
        <v>113</v>
      </c>
      <c r="G142" s="81" t="s">
        <v>489</v>
      </c>
      <c r="H142" s="129">
        <v>17</v>
      </c>
      <c r="I142" s="151">
        <v>98229</v>
      </c>
      <c r="J142" s="24" t="s">
        <v>439</v>
      </c>
      <c r="K142" s="188">
        <f t="shared" si="17"/>
        <v>2178</v>
      </c>
      <c r="L142" s="246" t="str">
        <f t="shared" si="15"/>
        <v>1 квартал 2012</v>
      </c>
      <c r="M142" s="245">
        <v>41244</v>
      </c>
      <c r="N142" s="260" t="s">
        <v>504</v>
      </c>
      <c r="O142" s="188"/>
      <c r="P142" s="83">
        <f t="shared" si="16"/>
        <v>17</v>
      </c>
      <c r="Q142" s="83">
        <v>2178</v>
      </c>
      <c r="R142" s="83"/>
      <c r="S142" s="83"/>
      <c r="T142" s="83"/>
      <c r="U142" s="83"/>
      <c r="V142" s="83"/>
      <c r="W142" s="83"/>
      <c r="X142" s="167"/>
      <c r="Z142" s="237">
        <f t="shared" si="9"/>
        <v>0</v>
      </c>
    </row>
    <row r="143" spans="1:26" s="141" customFormat="1" ht="32.25" x14ac:dyDescent="0.25">
      <c r="A143" s="186">
        <v>15.8</v>
      </c>
      <c r="B143" s="165" t="s">
        <v>408</v>
      </c>
      <c r="C143" s="110">
        <v>4110000</v>
      </c>
      <c r="D143" s="269" t="s">
        <v>121</v>
      </c>
      <c r="E143" s="228"/>
      <c r="F143" s="11">
        <v>113</v>
      </c>
      <c r="G143" s="81" t="s">
        <v>489</v>
      </c>
      <c r="H143" s="129">
        <v>72</v>
      </c>
      <c r="I143" s="151">
        <v>98404</v>
      </c>
      <c r="J143" s="24" t="s">
        <v>440</v>
      </c>
      <c r="K143" s="188">
        <f t="shared" si="17"/>
        <v>3446</v>
      </c>
      <c r="L143" s="246" t="str">
        <f t="shared" si="15"/>
        <v>1 квартал 2012</v>
      </c>
      <c r="M143" s="245">
        <v>41244</v>
      </c>
      <c r="N143" s="260" t="s">
        <v>504</v>
      </c>
      <c r="O143" s="188"/>
      <c r="P143" s="83">
        <f t="shared" si="16"/>
        <v>72</v>
      </c>
      <c r="Q143" s="83">
        <v>3446</v>
      </c>
      <c r="R143" s="83"/>
      <c r="S143" s="83"/>
      <c r="T143" s="83"/>
      <c r="U143" s="83"/>
      <c r="V143" s="83"/>
      <c r="W143" s="83"/>
      <c r="X143" s="167"/>
      <c r="Z143" s="237">
        <f t="shared" si="9"/>
        <v>0</v>
      </c>
    </row>
    <row r="144" spans="1:26" s="141" customFormat="1" ht="32.25" x14ac:dyDescent="0.25">
      <c r="A144" s="186">
        <v>15.9</v>
      </c>
      <c r="B144" s="165" t="s">
        <v>408</v>
      </c>
      <c r="C144" s="110">
        <v>4110000</v>
      </c>
      <c r="D144" s="269" t="s">
        <v>122</v>
      </c>
      <c r="E144" s="228"/>
      <c r="F144" s="11">
        <v>113</v>
      </c>
      <c r="G144" s="81" t="s">
        <v>489</v>
      </c>
      <c r="H144" s="129">
        <v>70</v>
      </c>
      <c r="I144" s="151">
        <v>98406</v>
      </c>
      <c r="J144" s="24" t="s">
        <v>441</v>
      </c>
      <c r="K144" s="188">
        <f t="shared" si="17"/>
        <v>7205</v>
      </c>
      <c r="L144" s="246" t="str">
        <f t="shared" si="15"/>
        <v>1 квартал 2012</v>
      </c>
      <c r="M144" s="245">
        <v>41244</v>
      </c>
      <c r="N144" s="260" t="s">
        <v>504</v>
      </c>
      <c r="O144" s="188"/>
      <c r="P144" s="83">
        <f t="shared" si="16"/>
        <v>70</v>
      </c>
      <c r="Q144" s="83">
        <v>7205</v>
      </c>
      <c r="R144" s="83"/>
      <c r="S144" s="83"/>
      <c r="T144" s="83"/>
      <c r="U144" s="83"/>
      <c r="V144" s="83"/>
      <c r="W144" s="83"/>
      <c r="X144" s="167"/>
      <c r="Z144" s="237">
        <f t="shared" si="9"/>
        <v>0</v>
      </c>
    </row>
    <row r="145" spans="1:26" s="141" customFormat="1" ht="32.25" x14ac:dyDescent="0.25">
      <c r="A145" s="186">
        <v>15.1</v>
      </c>
      <c r="B145" s="165" t="s">
        <v>408</v>
      </c>
      <c r="C145" s="110">
        <v>4110000</v>
      </c>
      <c r="D145" s="269" t="s">
        <v>123</v>
      </c>
      <c r="E145" s="228"/>
      <c r="F145" s="11">
        <v>113</v>
      </c>
      <c r="G145" s="81" t="s">
        <v>489</v>
      </c>
      <c r="H145" s="129">
        <v>4</v>
      </c>
      <c r="I145" s="151">
        <v>98237551</v>
      </c>
      <c r="J145" s="24" t="s">
        <v>445</v>
      </c>
      <c r="K145" s="188">
        <f t="shared" si="17"/>
        <v>691</v>
      </c>
      <c r="L145" s="246" t="str">
        <f t="shared" si="15"/>
        <v>1 квартал 2012</v>
      </c>
      <c r="M145" s="245">
        <v>41244</v>
      </c>
      <c r="N145" s="260" t="s">
        <v>504</v>
      </c>
      <c r="O145" s="188"/>
      <c r="P145" s="83">
        <f t="shared" si="16"/>
        <v>4</v>
      </c>
      <c r="Q145" s="83">
        <v>691</v>
      </c>
      <c r="R145" s="83"/>
      <c r="S145" s="83"/>
      <c r="T145" s="83"/>
      <c r="U145" s="83"/>
      <c r="V145" s="83"/>
      <c r="W145" s="83"/>
      <c r="X145" s="167"/>
      <c r="Z145" s="237">
        <f t="shared" si="9"/>
        <v>0</v>
      </c>
    </row>
    <row r="146" spans="1:26" s="141" customFormat="1" ht="32.25" x14ac:dyDescent="0.25">
      <c r="A146" s="186"/>
      <c r="B146" s="165"/>
      <c r="C146" s="110"/>
      <c r="D146" s="269" t="s">
        <v>129</v>
      </c>
      <c r="E146" s="228"/>
      <c r="F146" s="11">
        <v>113</v>
      </c>
      <c r="G146" s="81" t="s">
        <v>489</v>
      </c>
      <c r="H146" s="129">
        <v>3</v>
      </c>
      <c r="I146" s="151"/>
      <c r="J146" s="24"/>
      <c r="K146" s="188">
        <f t="shared" si="17"/>
        <v>1019.2013999999999</v>
      </c>
      <c r="L146" s="246" t="str">
        <f t="shared" si="15"/>
        <v>1 квартал 2012</v>
      </c>
      <c r="M146" s="245">
        <v>41244</v>
      </c>
      <c r="N146" s="260" t="s">
        <v>504</v>
      </c>
      <c r="O146" s="188"/>
      <c r="P146" s="83">
        <f t="shared" si="16"/>
        <v>3</v>
      </c>
      <c r="Q146" s="83">
        <f>863.73*1.18</f>
        <v>1019.2013999999999</v>
      </c>
      <c r="R146" s="83"/>
      <c r="S146" s="83"/>
      <c r="T146" s="83"/>
      <c r="U146" s="83"/>
      <c r="V146" s="83"/>
      <c r="W146" s="83"/>
      <c r="X146" s="167"/>
      <c r="Z146" s="237">
        <f t="shared" si="9"/>
        <v>0</v>
      </c>
    </row>
    <row r="147" spans="1:26" s="141" customFormat="1" ht="32.25" x14ac:dyDescent="0.25">
      <c r="A147" s="186"/>
      <c r="B147" s="165"/>
      <c r="C147" s="110"/>
      <c r="D147" s="269" t="s">
        <v>132</v>
      </c>
      <c r="E147" s="228"/>
      <c r="F147" s="11">
        <v>113</v>
      </c>
      <c r="G147" s="81" t="s">
        <v>489</v>
      </c>
      <c r="H147" s="129">
        <v>3</v>
      </c>
      <c r="I147" s="151"/>
      <c r="J147" s="24"/>
      <c r="K147" s="188">
        <f t="shared" si="17"/>
        <v>233.73439999999999</v>
      </c>
      <c r="L147" s="246" t="str">
        <f t="shared" si="15"/>
        <v>1 квартал 2012</v>
      </c>
      <c r="M147" s="245">
        <v>41244</v>
      </c>
      <c r="N147" s="260" t="s">
        <v>504</v>
      </c>
      <c r="O147" s="188"/>
      <c r="P147" s="83">
        <f t="shared" si="16"/>
        <v>3</v>
      </c>
      <c r="Q147" s="83">
        <f>198.08*1.18</f>
        <v>233.73439999999999</v>
      </c>
      <c r="R147" s="83"/>
      <c r="S147" s="83"/>
      <c r="T147" s="83"/>
      <c r="U147" s="83"/>
      <c r="V147" s="83"/>
      <c r="W147" s="83"/>
      <c r="X147" s="167"/>
      <c r="Z147" s="237">
        <f t="shared" si="9"/>
        <v>0</v>
      </c>
    </row>
    <row r="148" spans="1:26" s="141" customFormat="1" ht="32.25" x14ac:dyDescent="0.25">
      <c r="A148" s="186">
        <v>15.11</v>
      </c>
      <c r="B148" s="165" t="s">
        <v>408</v>
      </c>
      <c r="C148" s="110">
        <v>4110000</v>
      </c>
      <c r="D148" s="269" t="s">
        <v>124</v>
      </c>
      <c r="E148" s="228"/>
      <c r="F148" s="11">
        <v>113</v>
      </c>
      <c r="G148" s="81" t="s">
        <v>489</v>
      </c>
      <c r="H148" s="129">
        <v>9</v>
      </c>
      <c r="I148" s="151">
        <v>98231509</v>
      </c>
      <c r="J148" s="24" t="s">
        <v>443</v>
      </c>
      <c r="K148" s="188">
        <f t="shared" si="17"/>
        <v>1622</v>
      </c>
      <c r="L148" s="246" t="str">
        <f t="shared" si="15"/>
        <v>1 квартал 2012</v>
      </c>
      <c r="M148" s="245">
        <v>41244</v>
      </c>
      <c r="N148" s="260" t="s">
        <v>504</v>
      </c>
      <c r="O148" s="188"/>
      <c r="P148" s="83">
        <f t="shared" si="16"/>
        <v>9</v>
      </c>
      <c r="Q148" s="83">
        <v>1622</v>
      </c>
      <c r="R148" s="83"/>
      <c r="S148" s="83"/>
      <c r="T148" s="83"/>
      <c r="U148" s="83"/>
      <c r="V148" s="83"/>
      <c r="W148" s="83"/>
      <c r="X148" s="167"/>
      <c r="Z148" s="237">
        <f t="shared" si="9"/>
        <v>0</v>
      </c>
    </row>
    <row r="149" spans="1:26" s="141" customFormat="1" ht="32.25" x14ac:dyDescent="0.25">
      <c r="A149" s="186">
        <v>15.12</v>
      </c>
      <c r="B149" s="165" t="s">
        <v>408</v>
      </c>
      <c r="C149" s="110">
        <v>4110000</v>
      </c>
      <c r="D149" s="269" t="s">
        <v>125</v>
      </c>
      <c r="E149" s="228"/>
      <c r="F149" s="11">
        <v>113</v>
      </c>
      <c r="G149" s="81" t="s">
        <v>489</v>
      </c>
      <c r="H149" s="129">
        <v>4</v>
      </c>
      <c r="I149" s="151">
        <v>98254551</v>
      </c>
      <c r="J149" s="24" t="s">
        <v>442</v>
      </c>
      <c r="K149" s="188">
        <f t="shared" si="17"/>
        <v>886</v>
      </c>
      <c r="L149" s="246" t="str">
        <f t="shared" si="15"/>
        <v>1 квартал 2012</v>
      </c>
      <c r="M149" s="245">
        <v>41244</v>
      </c>
      <c r="N149" s="260" t="s">
        <v>504</v>
      </c>
      <c r="O149" s="188"/>
      <c r="P149" s="83">
        <f t="shared" si="16"/>
        <v>4</v>
      </c>
      <c r="Q149" s="83">
        <v>886</v>
      </c>
      <c r="R149" s="83"/>
      <c r="S149" s="83"/>
      <c r="T149" s="83"/>
      <c r="U149" s="83"/>
      <c r="V149" s="83"/>
      <c r="W149" s="83"/>
      <c r="X149" s="167"/>
      <c r="Z149" s="237">
        <f t="shared" si="9"/>
        <v>0</v>
      </c>
    </row>
    <row r="150" spans="1:26" s="141" customFormat="1" ht="32.25" x14ac:dyDescent="0.25">
      <c r="A150" s="186">
        <v>15.13</v>
      </c>
      <c r="B150" s="165" t="s">
        <v>408</v>
      </c>
      <c r="C150" s="110">
        <v>4110000</v>
      </c>
      <c r="D150" s="269" t="s">
        <v>490</v>
      </c>
      <c r="E150" s="228"/>
      <c r="F150" s="11">
        <v>113</v>
      </c>
      <c r="G150" s="81" t="s">
        <v>489</v>
      </c>
      <c r="H150" s="129">
        <v>1855</v>
      </c>
      <c r="I150" s="151">
        <v>98401</v>
      </c>
      <c r="J150" s="24" t="s">
        <v>429</v>
      </c>
      <c r="K150" s="188">
        <f t="shared" si="17"/>
        <v>135140</v>
      </c>
      <c r="L150" s="246" t="str">
        <f t="shared" si="15"/>
        <v>1 квартал 2012</v>
      </c>
      <c r="M150" s="245">
        <v>41244</v>
      </c>
      <c r="N150" s="260" t="s">
        <v>504</v>
      </c>
      <c r="O150" s="188"/>
      <c r="P150" s="83">
        <f t="shared" si="16"/>
        <v>1855</v>
      </c>
      <c r="Q150" s="83">
        <v>135140</v>
      </c>
      <c r="R150" s="83"/>
      <c r="S150" s="83"/>
      <c r="T150" s="83"/>
      <c r="U150" s="83"/>
      <c r="V150" s="83"/>
      <c r="W150" s="83"/>
      <c r="X150" s="167"/>
      <c r="Z150" s="237">
        <f t="shared" si="9"/>
        <v>0</v>
      </c>
    </row>
    <row r="151" spans="1:26" s="230" customFormat="1" ht="14.25" x14ac:dyDescent="0.2">
      <c r="A151" s="232">
        <v>16</v>
      </c>
      <c r="B151" s="156"/>
      <c r="C151" s="157"/>
      <c r="D151" s="264" t="s">
        <v>127</v>
      </c>
      <c r="E151" s="159"/>
      <c r="F151" s="159"/>
      <c r="G151" s="160"/>
      <c r="H151" s="162">
        <f>SUM(H152:H170)</f>
        <v>807.16300000000001</v>
      </c>
      <c r="I151" s="162">
        <f>SUM(I152:I170)</f>
        <v>983256535</v>
      </c>
      <c r="J151" s="162">
        <f>SUM(J152:J170)</f>
        <v>0</v>
      </c>
      <c r="K151" s="162">
        <f>SUM(K152:K170)</f>
        <v>2445349.411084746</v>
      </c>
      <c r="L151" s="244"/>
      <c r="M151" s="244"/>
      <c r="N151" s="254"/>
      <c r="O151" s="162"/>
      <c r="P151" s="162">
        <f t="shared" ref="P151:W151" si="18">SUM(P152:P171)</f>
        <v>228</v>
      </c>
      <c r="Q151" s="162">
        <f t="shared" si="18"/>
        <v>2993164.2867065961</v>
      </c>
      <c r="R151" s="162">
        <f t="shared" si="18"/>
        <v>0</v>
      </c>
      <c r="S151" s="162">
        <f t="shared" si="18"/>
        <v>0</v>
      </c>
      <c r="T151" s="162">
        <f t="shared" si="18"/>
        <v>0</v>
      </c>
      <c r="U151" s="162">
        <f t="shared" si="18"/>
        <v>0</v>
      </c>
      <c r="V151" s="162">
        <f t="shared" si="18"/>
        <v>0</v>
      </c>
      <c r="W151" s="162">
        <f t="shared" si="18"/>
        <v>0</v>
      </c>
      <c r="X151" s="163"/>
      <c r="Y151" s="231"/>
      <c r="Z151" s="237">
        <f t="shared" si="9"/>
        <v>-547814.87562185014</v>
      </c>
    </row>
    <row r="152" spans="1:26" s="141" customFormat="1" ht="32.25" x14ac:dyDescent="0.25">
      <c r="A152" s="186">
        <v>16.100000000000001</v>
      </c>
      <c r="B152" s="165" t="s">
        <v>407</v>
      </c>
      <c r="C152" s="110">
        <v>4030000</v>
      </c>
      <c r="D152" s="267" t="s">
        <v>114</v>
      </c>
      <c r="E152" s="11"/>
      <c r="F152" s="11">
        <v>233</v>
      </c>
      <c r="G152" s="11" t="s">
        <v>454</v>
      </c>
      <c r="H152" s="129">
        <v>10</v>
      </c>
      <c r="I152" s="151">
        <v>98231552</v>
      </c>
      <c r="J152" s="24" t="s">
        <v>432</v>
      </c>
      <c r="K152" s="188">
        <v>22121.522400000002</v>
      </c>
      <c r="L152" s="246" t="str">
        <f t="shared" ref="L152:L171" si="19">IF(Q152&gt;0,"1 квартал 2012",IF(S152&gt;0,"2 квартал 2012",IF(U152&gt;0,"3 квартал 2012","4 квартал 2012")))</f>
        <v>1 квартал 2012</v>
      </c>
      <c r="M152" s="250"/>
      <c r="N152" s="260" t="s">
        <v>504</v>
      </c>
      <c r="O152" s="188"/>
      <c r="P152" s="83">
        <v>12</v>
      </c>
      <c r="Q152" s="83">
        <v>22121.522400000002</v>
      </c>
      <c r="R152" s="83"/>
      <c r="S152" s="83"/>
      <c r="T152" s="83"/>
      <c r="U152" s="83"/>
      <c r="V152" s="83"/>
      <c r="W152" s="83"/>
      <c r="X152" s="167"/>
      <c r="Z152" s="237">
        <f t="shared" ref="Z152:Z216" si="20">K152-Q152-S152-U152-W152</f>
        <v>0</v>
      </c>
    </row>
    <row r="153" spans="1:26" s="141" customFormat="1" ht="32.25" x14ac:dyDescent="0.25">
      <c r="A153" s="186">
        <v>16.2</v>
      </c>
      <c r="B153" s="165" t="s">
        <v>407</v>
      </c>
      <c r="C153" s="110">
        <v>4030000</v>
      </c>
      <c r="D153" s="269" t="s">
        <v>115</v>
      </c>
      <c r="E153" s="228"/>
      <c r="F153" s="11">
        <v>233</v>
      </c>
      <c r="G153" s="11" t="s">
        <v>454</v>
      </c>
      <c r="H153" s="129">
        <v>12</v>
      </c>
      <c r="I153" s="151">
        <v>98201551</v>
      </c>
      <c r="J153" s="24" t="s">
        <v>433</v>
      </c>
      <c r="K153" s="188">
        <v>64723.259520000007</v>
      </c>
      <c r="L153" s="246" t="str">
        <f t="shared" si="19"/>
        <v>1 квартал 2012</v>
      </c>
      <c r="M153" s="250"/>
      <c r="N153" s="260" t="s">
        <v>504</v>
      </c>
      <c r="O153" s="188"/>
      <c r="P153" s="83">
        <v>12</v>
      </c>
      <c r="Q153" s="83">
        <v>64723.259520000007</v>
      </c>
      <c r="R153" s="83"/>
      <c r="S153" s="83"/>
      <c r="T153" s="83"/>
      <c r="U153" s="83"/>
      <c r="V153" s="83"/>
      <c r="W153" s="83"/>
      <c r="X153" s="167"/>
      <c r="Z153" s="237">
        <f t="shared" si="20"/>
        <v>0</v>
      </c>
    </row>
    <row r="154" spans="1:26" s="141" customFormat="1" ht="32.25" x14ac:dyDescent="0.25">
      <c r="A154" s="186">
        <v>16.3</v>
      </c>
      <c r="B154" s="165" t="s">
        <v>407</v>
      </c>
      <c r="C154" s="110">
        <v>4030000</v>
      </c>
      <c r="D154" s="269" t="s">
        <v>128</v>
      </c>
      <c r="E154" s="228"/>
      <c r="F154" s="11">
        <v>233</v>
      </c>
      <c r="G154" s="11" t="s">
        <v>454</v>
      </c>
      <c r="H154" s="129">
        <v>34</v>
      </c>
      <c r="I154" s="151">
        <v>98218501</v>
      </c>
      <c r="J154" s="24" t="s">
        <v>434</v>
      </c>
      <c r="K154" s="188">
        <v>93748.99</v>
      </c>
      <c r="L154" s="246" t="str">
        <f t="shared" si="19"/>
        <v>1 квартал 2012</v>
      </c>
      <c r="M154" s="250"/>
      <c r="N154" s="260" t="s">
        <v>504</v>
      </c>
      <c r="O154" s="188"/>
      <c r="P154" s="83">
        <v>12</v>
      </c>
      <c r="Q154" s="83">
        <v>93748.99</v>
      </c>
      <c r="R154" s="83"/>
      <c r="S154" s="83"/>
      <c r="T154" s="83"/>
      <c r="U154" s="83"/>
      <c r="V154" s="83"/>
      <c r="W154" s="83"/>
      <c r="X154" s="167"/>
      <c r="Z154" s="237">
        <f t="shared" si="20"/>
        <v>0</v>
      </c>
    </row>
    <row r="155" spans="1:26" s="141" customFormat="1" ht="32.25" x14ac:dyDescent="0.25">
      <c r="A155" s="186">
        <v>16.399999999999999</v>
      </c>
      <c r="B155" s="165" t="s">
        <v>407</v>
      </c>
      <c r="C155" s="110">
        <v>4030000</v>
      </c>
      <c r="D155" s="269" t="s">
        <v>116</v>
      </c>
      <c r="E155" s="228"/>
      <c r="F155" s="11">
        <v>233</v>
      </c>
      <c r="G155" s="11" t="s">
        <v>454</v>
      </c>
      <c r="H155" s="129">
        <v>12</v>
      </c>
      <c r="I155" s="151">
        <v>98401554</v>
      </c>
      <c r="J155" s="24" t="s">
        <v>437</v>
      </c>
      <c r="K155" s="188">
        <v>13302.971880000003</v>
      </c>
      <c r="L155" s="246" t="str">
        <f t="shared" si="19"/>
        <v>1 квартал 2012</v>
      </c>
      <c r="M155" s="250"/>
      <c r="N155" s="260" t="s">
        <v>504</v>
      </c>
      <c r="O155" s="188"/>
      <c r="P155" s="83">
        <v>12</v>
      </c>
      <c r="Q155" s="83">
        <v>13302.971880000003</v>
      </c>
      <c r="R155" s="83"/>
      <c r="S155" s="83"/>
      <c r="T155" s="83"/>
      <c r="U155" s="83"/>
      <c r="V155" s="83"/>
      <c r="W155" s="83"/>
      <c r="X155" s="167"/>
      <c r="Z155" s="237">
        <f t="shared" si="20"/>
        <v>0</v>
      </c>
    </row>
    <row r="156" spans="1:26" s="141" customFormat="1" ht="32.25" x14ac:dyDescent="0.25">
      <c r="A156" s="186">
        <v>16.5</v>
      </c>
      <c r="B156" s="165" t="s">
        <v>407</v>
      </c>
      <c r="C156" s="110">
        <v>4030000</v>
      </c>
      <c r="D156" s="269" t="s">
        <v>117</v>
      </c>
      <c r="E156" s="228"/>
      <c r="F156" s="11">
        <v>233</v>
      </c>
      <c r="G156" s="11" t="s">
        <v>454</v>
      </c>
      <c r="H156" s="129">
        <v>12</v>
      </c>
      <c r="I156" s="151">
        <v>98222</v>
      </c>
      <c r="J156" s="24" t="s">
        <v>438</v>
      </c>
      <c r="K156" s="188">
        <v>51963.434999999998</v>
      </c>
      <c r="L156" s="246" t="str">
        <f t="shared" si="19"/>
        <v>1 квартал 2012</v>
      </c>
      <c r="M156" s="250"/>
      <c r="N156" s="260" t="s">
        <v>504</v>
      </c>
      <c r="O156" s="188"/>
      <c r="P156" s="83">
        <v>12</v>
      </c>
      <c r="Q156" s="83">
        <v>51963.434999999998</v>
      </c>
      <c r="R156" s="83"/>
      <c r="S156" s="83"/>
      <c r="T156" s="83"/>
      <c r="U156" s="83"/>
      <c r="V156" s="83"/>
      <c r="W156" s="83"/>
      <c r="X156" s="167"/>
      <c r="Z156" s="237">
        <f t="shared" si="20"/>
        <v>0</v>
      </c>
    </row>
    <row r="157" spans="1:26" s="141" customFormat="1" ht="32.25" x14ac:dyDescent="0.25">
      <c r="A157" s="186">
        <v>16.600000000000001</v>
      </c>
      <c r="B157" s="165" t="s">
        <v>407</v>
      </c>
      <c r="C157" s="110">
        <v>4030000</v>
      </c>
      <c r="D157" s="269" t="s">
        <v>118</v>
      </c>
      <c r="E157" s="228"/>
      <c r="F157" s="11">
        <v>233</v>
      </c>
      <c r="G157" s="11" t="s">
        <v>454</v>
      </c>
      <c r="H157" s="129">
        <v>14.9</v>
      </c>
      <c r="I157" s="151">
        <v>98224551</v>
      </c>
      <c r="J157" s="24" t="s">
        <v>436</v>
      </c>
      <c r="K157" s="188">
        <v>45184.78</v>
      </c>
      <c r="L157" s="246" t="str">
        <f t="shared" si="19"/>
        <v>1 квартал 2012</v>
      </c>
      <c r="M157" s="250"/>
      <c r="N157" s="260" t="s">
        <v>504</v>
      </c>
      <c r="O157" s="188"/>
      <c r="P157" s="83">
        <v>12</v>
      </c>
      <c r="Q157" s="83">
        <v>45184.78</v>
      </c>
      <c r="R157" s="83"/>
      <c r="S157" s="83"/>
      <c r="T157" s="83"/>
      <c r="U157" s="83"/>
      <c r="V157" s="83"/>
      <c r="W157" s="83"/>
      <c r="X157" s="167"/>
      <c r="Z157" s="237">
        <f t="shared" si="20"/>
        <v>0</v>
      </c>
    </row>
    <row r="158" spans="1:26" s="141" customFormat="1" ht="32.25" x14ac:dyDescent="0.25">
      <c r="A158" s="186">
        <v>16.7</v>
      </c>
      <c r="B158" s="165" t="s">
        <v>407</v>
      </c>
      <c r="C158" s="110">
        <v>4030000</v>
      </c>
      <c r="D158" s="269" t="s">
        <v>119</v>
      </c>
      <c r="E158" s="228"/>
      <c r="F158" s="11">
        <v>233</v>
      </c>
      <c r="G158" s="11" t="s">
        <v>454</v>
      </c>
      <c r="H158" s="129">
        <v>191</v>
      </c>
      <c r="I158" s="151">
        <v>98227501</v>
      </c>
      <c r="J158" s="24" t="s">
        <v>430</v>
      </c>
      <c r="K158" s="188">
        <v>690838.29220000003</v>
      </c>
      <c r="L158" s="246" t="str">
        <f t="shared" si="19"/>
        <v>1 квартал 2012</v>
      </c>
      <c r="M158" s="250"/>
      <c r="N158" s="260" t="s">
        <v>504</v>
      </c>
      <c r="O158" s="188"/>
      <c r="P158" s="83">
        <v>12</v>
      </c>
      <c r="Q158" s="83">
        <v>690838.29220000003</v>
      </c>
      <c r="R158" s="83"/>
      <c r="S158" s="83"/>
      <c r="T158" s="83"/>
      <c r="U158" s="83"/>
      <c r="V158" s="83"/>
      <c r="W158" s="83"/>
      <c r="X158" s="167"/>
      <c r="Z158" s="237">
        <f t="shared" si="20"/>
        <v>0</v>
      </c>
    </row>
    <row r="159" spans="1:26" s="141" customFormat="1" ht="32.25" x14ac:dyDescent="0.25">
      <c r="A159" s="186">
        <v>16.8</v>
      </c>
      <c r="B159" s="165" t="s">
        <v>407</v>
      </c>
      <c r="C159" s="110">
        <v>4030000</v>
      </c>
      <c r="D159" s="269" t="s">
        <v>120</v>
      </c>
      <c r="E159" s="228"/>
      <c r="F159" s="11">
        <v>233</v>
      </c>
      <c r="G159" s="11" t="s">
        <v>454</v>
      </c>
      <c r="H159" s="129">
        <v>12</v>
      </c>
      <c r="I159" s="151">
        <v>98229</v>
      </c>
      <c r="J159" s="24" t="s">
        <v>439</v>
      </c>
      <c r="K159" s="188">
        <v>18720.078000000001</v>
      </c>
      <c r="L159" s="246" t="str">
        <f t="shared" si="19"/>
        <v>1 квартал 2012</v>
      </c>
      <c r="M159" s="250"/>
      <c r="N159" s="260" t="s">
        <v>504</v>
      </c>
      <c r="O159" s="188"/>
      <c r="P159" s="83">
        <v>12</v>
      </c>
      <c r="Q159" s="83">
        <v>18720.078000000001</v>
      </c>
      <c r="R159" s="83"/>
      <c r="S159" s="83"/>
      <c r="T159" s="83"/>
      <c r="U159" s="83"/>
      <c r="V159" s="83"/>
      <c r="W159" s="83"/>
      <c r="X159" s="167"/>
      <c r="Z159" s="237">
        <f t="shared" si="20"/>
        <v>0</v>
      </c>
    </row>
    <row r="160" spans="1:26" s="141" customFormat="1" ht="32.25" x14ac:dyDescent="0.25">
      <c r="A160" s="186">
        <v>16.899999999999999</v>
      </c>
      <c r="B160" s="165" t="s">
        <v>407</v>
      </c>
      <c r="C160" s="110">
        <v>4030000</v>
      </c>
      <c r="D160" s="269" t="s">
        <v>121</v>
      </c>
      <c r="E160" s="228"/>
      <c r="F160" s="11">
        <v>233</v>
      </c>
      <c r="G160" s="11" t="s">
        <v>454</v>
      </c>
      <c r="H160" s="129">
        <v>68.599999999999994</v>
      </c>
      <c r="I160" s="151">
        <v>98404</v>
      </c>
      <c r="J160" s="24" t="s">
        <v>440</v>
      </c>
      <c r="K160" s="188">
        <v>100227.1</v>
      </c>
      <c r="L160" s="246" t="str">
        <f t="shared" si="19"/>
        <v>1 квартал 2012</v>
      </c>
      <c r="M160" s="250"/>
      <c r="N160" s="260" t="s">
        <v>504</v>
      </c>
      <c r="O160" s="188"/>
      <c r="P160" s="83">
        <v>12</v>
      </c>
      <c r="Q160" s="83">
        <v>100227.1</v>
      </c>
      <c r="R160" s="83"/>
      <c r="S160" s="83"/>
      <c r="T160" s="83"/>
      <c r="U160" s="83"/>
      <c r="V160" s="83"/>
      <c r="W160" s="83"/>
      <c r="X160" s="167"/>
      <c r="Z160" s="237">
        <f t="shared" si="20"/>
        <v>0</v>
      </c>
    </row>
    <row r="161" spans="1:26" s="141" customFormat="1" ht="32.25" x14ac:dyDescent="0.25">
      <c r="A161" s="186">
        <v>16.100000000000001</v>
      </c>
      <c r="B161" s="165" t="s">
        <v>407</v>
      </c>
      <c r="C161" s="110">
        <v>4030000</v>
      </c>
      <c r="D161" s="269" t="s">
        <v>122</v>
      </c>
      <c r="E161" s="228"/>
      <c r="F161" s="11">
        <v>233</v>
      </c>
      <c r="G161" s="11" t="s">
        <v>454</v>
      </c>
      <c r="H161" s="129">
        <v>30.8</v>
      </c>
      <c r="I161" s="151">
        <v>98406</v>
      </c>
      <c r="J161" s="24" t="s">
        <v>441</v>
      </c>
      <c r="K161" s="188">
        <v>53237.49760000001</v>
      </c>
      <c r="L161" s="246" t="str">
        <f t="shared" si="19"/>
        <v>1 квартал 2012</v>
      </c>
      <c r="M161" s="250"/>
      <c r="N161" s="260" t="s">
        <v>504</v>
      </c>
      <c r="O161" s="188"/>
      <c r="P161" s="83">
        <v>12</v>
      </c>
      <c r="Q161" s="83">
        <v>53237.49760000001</v>
      </c>
      <c r="R161" s="83"/>
      <c r="S161" s="83"/>
      <c r="T161" s="83"/>
      <c r="U161" s="83"/>
      <c r="V161" s="83"/>
      <c r="W161" s="83"/>
      <c r="X161" s="167"/>
      <c r="Z161" s="237">
        <f t="shared" si="20"/>
        <v>0</v>
      </c>
    </row>
    <row r="162" spans="1:26" s="141" customFormat="1" ht="32.25" x14ac:dyDescent="0.25">
      <c r="A162" s="186">
        <v>16.11</v>
      </c>
      <c r="B162" s="165" t="s">
        <v>407</v>
      </c>
      <c r="C162" s="110">
        <v>4030000</v>
      </c>
      <c r="D162" s="269" t="s">
        <v>123</v>
      </c>
      <c r="E162" s="228"/>
      <c r="F162" s="11">
        <v>233</v>
      </c>
      <c r="G162" s="11" t="s">
        <v>454</v>
      </c>
      <c r="H162" s="129">
        <v>9.61</v>
      </c>
      <c r="I162" s="151">
        <v>98237551</v>
      </c>
      <c r="J162" s="24" t="s">
        <v>445</v>
      </c>
      <c r="K162" s="188">
        <v>40065.305084745763</v>
      </c>
      <c r="L162" s="246" t="str">
        <f t="shared" si="19"/>
        <v>1 квартал 2012</v>
      </c>
      <c r="M162" s="250"/>
      <c r="N162" s="260" t="s">
        <v>504</v>
      </c>
      <c r="O162" s="188"/>
      <c r="P162" s="83">
        <v>12</v>
      </c>
      <c r="Q162" s="83">
        <v>40065.305084745763</v>
      </c>
      <c r="R162" s="83"/>
      <c r="S162" s="83"/>
      <c r="T162" s="83"/>
      <c r="U162" s="83"/>
      <c r="V162" s="83"/>
      <c r="W162" s="83"/>
      <c r="X162" s="167"/>
      <c r="Z162" s="237">
        <f t="shared" si="20"/>
        <v>0</v>
      </c>
    </row>
    <row r="163" spans="1:26" s="141" customFormat="1" ht="32.25" x14ac:dyDescent="0.25">
      <c r="A163" s="186">
        <v>16.12</v>
      </c>
      <c r="B163" s="165" t="s">
        <v>407</v>
      </c>
      <c r="C163" s="110">
        <v>4030000</v>
      </c>
      <c r="D163" s="269" t="s">
        <v>129</v>
      </c>
      <c r="E163" s="228"/>
      <c r="F163" s="11">
        <v>233</v>
      </c>
      <c r="G163" s="11" t="s">
        <v>454</v>
      </c>
      <c r="H163" s="129">
        <v>36.979999999999997</v>
      </c>
      <c r="I163" s="151">
        <v>98241501</v>
      </c>
      <c r="J163" s="24" t="s">
        <v>456</v>
      </c>
      <c r="K163" s="188">
        <v>93501.52</v>
      </c>
      <c r="L163" s="246" t="str">
        <f t="shared" si="19"/>
        <v>1 квартал 2012</v>
      </c>
      <c r="M163" s="250"/>
      <c r="N163" s="260" t="s">
        <v>504</v>
      </c>
      <c r="O163" s="188"/>
      <c r="P163" s="83">
        <v>12</v>
      </c>
      <c r="Q163" s="83">
        <v>93501.52</v>
      </c>
      <c r="R163" s="83"/>
      <c r="S163" s="83"/>
      <c r="T163" s="83"/>
      <c r="U163" s="83"/>
      <c r="V163" s="83"/>
      <c r="W163" s="83"/>
      <c r="X163" s="167"/>
      <c r="Z163" s="237">
        <f t="shared" si="20"/>
        <v>0</v>
      </c>
    </row>
    <row r="164" spans="1:26" s="141" customFormat="1" ht="32.25" x14ac:dyDescent="0.25">
      <c r="A164" s="186">
        <v>16.13</v>
      </c>
      <c r="B164" s="165" t="s">
        <v>407</v>
      </c>
      <c r="C164" s="110">
        <v>4030000</v>
      </c>
      <c r="D164" s="269" t="s">
        <v>130</v>
      </c>
      <c r="E164" s="228"/>
      <c r="F164" s="11">
        <v>233</v>
      </c>
      <c r="G164" s="11" t="s">
        <v>454</v>
      </c>
      <c r="H164" s="129">
        <v>7.79</v>
      </c>
      <c r="I164" s="152">
        <v>98242</v>
      </c>
      <c r="J164" s="24" t="s">
        <v>446</v>
      </c>
      <c r="K164" s="188">
        <v>41323.210999999996</v>
      </c>
      <c r="L164" s="246" t="str">
        <f t="shared" si="19"/>
        <v>1 квартал 2012</v>
      </c>
      <c r="M164" s="250"/>
      <c r="N164" s="260" t="s">
        <v>504</v>
      </c>
      <c r="O164" s="188"/>
      <c r="P164" s="83">
        <v>12</v>
      </c>
      <c r="Q164" s="83">
        <v>41323.210999999996</v>
      </c>
      <c r="R164" s="83"/>
      <c r="S164" s="83"/>
      <c r="T164" s="83"/>
      <c r="U164" s="83"/>
      <c r="V164" s="83"/>
      <c r="W164" s="83"/>
      <c r="X164" s="167"/>
      <c r="Z164" s="237">
        <f t="shared" si="20"/>
        <v>0</v>
      </c>
    </row>
    <row r="165" spans="1:26" s="141" customFormat="1" ht="32.25" x14ac:dyDescent="0.25">
      <c r="A165" s="186">
        <v>16.14</v>
      </c>
      <c r="B165" s="165" t="s">
        <v>407</v>
      </c>
      <c r="C165" s="110">
        <v>4030000</v>
      </c>
      <c r="D165" s="269" t="s">
        <v>131</v>
      </c>
      <c r="E165" s="228"/>
      <c r="F165" s="11">
        <v>233</v>
      </c>
      <c r="G165" s="11" t="s">
        <v>454</v>
      </c>
      <c r="H165" s="129">
        <v>79.739999999999995</v>
      </c>
      <c r="I165" s="151">
        <v>98248</v>
      </c>
      <c r="J165" s="83" t="s">
        <v>444</v>
      </c>
      <c r="K165" s="188">
        <v>266475.21000000002</v>
      </c>
      <c r="L165" s="246" t="str">
        <f t="shared" si="19"/>
        <v>1 квартал 2012</v>
      </c>
      <c r="M165" s="250"/>
      <c r="N165" s="260" t="s">
        <v>504</v>
      </c>
      <c r="O165" s="188"/>
      <c r="P165" s="83">
        <v>12</v>
      </c>
      <c r="Q165" s="83">
        <v>266475.21000000002</v>
      </c>
      <c r="R165" s="83"/>
      <c r="S165" s="83"/>
      <c r="T165" s="83"/>
      <c r="U165" s="83"/>
      <c r="V165" s="83"/>
      <c r="W165" s="83"/>
      <c r="X165" s="167"/>
      <c r="Z165" s="237">
        <f t="shared" si="20"/>
        <v>0</v>
      </c>
    </row>
    <row r="166" spans="1:26" s="141" customFormat="1" ht="32.25" x14ac:dyDescent="0.25">
      <c r="A166" s="186">
        <v>16.149999999999999</v>
      </c>
      <c r="B166" s="165" t="s">
        <v>407</v>
      </c>
      <c r="C166" s="110">
        <v>4030000</v>
      </c>
      <c r="D166" s="269" t="s">
        <v>132</v>
      </c>
      <c r="E166" s="228"/>
      <c r="F166" s="11">
        <v>233</v>
      </c>
      <c r="G166" s="11" t="s">
        <v>454</v>
      </c>
      <c r="H166" s="129">
        <v>60.66</v>
      </c>
      <c r="I166" s="151">
        <v>98204</v>
      </c>
      <c r="J166" s="83" t="s">
        <v>431</v>
      </c>
      <c r="K166" s="188">
        <v>192933.54</v>
      </c>
      <c r="L166" s="246" t="str">
        <f t="shared" si="19"/>
        <v>1 квартал 2012</v>
      </c>
      <c r="M166" s="250"/>
      <c r="N166" s="260" t="s">
        <v>504</v>
      </c>
      <c r="O166" s="188"/>
      <c r="P166" s="83">
        <v>12</v>
      </c>
      <c r="Q166" s="83">
        <v>192933.54</v>
      </c>
      <c r="R166" s="83"/>
      <c r="S166" s="83"/>
      <c r="T166" s="83"/>
      <c r="U166" s="83"/>
      <c r="V166" s="83"/>
      <c r="W166" s="83"/>
      <c r="X166" s="167"/>
      <c r="Z166" s="237">
        <f t="shared" si="20"/>
        <v>0</v>
      </c>
    </row>
    <row r="167" spans="1:26" s="141" customFormat="1" ht="32.25" x14ac:dyDescent="0.25">
      <c r="A167" s="186">
        <v>16.16</v>
      </c>
      <c r="B167" s="165" t="s">
        <v>407</v>
      </c>
      <c r="C167" s="110">
        <v>4030000</v>
      </c>
      <c r="D167" s="269" t="s">
        <v>124</v>
      </c>
      <c r="E167" s="228"/>
      <c r="F167" s="11">
        <v>233</v>
      </c>
      <c r="G167" s="11" t="s">
        <v>454</v>
      </c>
      <c r="H167" s="129">
        <v>14.3</v>
      </c>
      <c r="I167" s="151">
        <v>98231509</v>
      </c>
      <c r="J167" s="24" t="s">
        <v>443</v>
      </c>
      <c r="K167" s="188">
        <v>89362.02</v>
      </c>
      <c r="L167" s="246" t="str">
        <f t="shared" si="19"/>
        <v>1 квартал 2012</v>
      </c>
      <c r="M167" s="250"/>
      <c r="N167" s="260" t="s">
        <v>504</v>
      </c>
      <c r="O167" s="188"/>
      <c r="P167" s="83">
        <v>12</v>
      </c>
      <c r="Q167" s="83">
        <v>89362.02</v>
      </c>
      <c r="R167" s="83"/>
      <c r="S167" s="83"/>
      <c r="T167" s="83"/>
      <c r="U167" s="83"/>
      <c r="V167" s="83"/>
      <c r="W167" s="83"/>
      <c r="X167" s="167"/>
      <c r="Z167" s="237">
        <f t="shared" si="20"/>
        <v>0</v>
      </c>
    </row>
    <row r="168" spans="1:26" s="141" customFormat="1" ht="32.25" x14ac:dyDescent="0.25">
      <c r="A168" s="186">
        <v>16.170000000000002</v>
      </c>
      <c r="B168" s="165" t="s">
        <v>407</v>
      </c>
      <c r="C168" s="110">
        <v>4030000</v>
      </c>
      <c r="D168" s="269" t="s">
        <v>125</v>
      </c>
      <c r="E168" s="228"/>
      <c r="F168" s="11">
        <v>233</v>
      </c>
      <c r="G168" s="11" t="s">
        <v>454</v>
      </c>
      <c r="H168" s="129">
        <v>100.883</v>
      </c>
      <c r="I168" s="151">
        <v>98254551</v>
      </c>
      <c r="J168" s="24" t="s">
        <v>442</v>
      </c>
      <c r="K168" s="188">
        <v>221945.46839999998</v>
      </c>
      <c r="L168" s="246" t="str">
        <f t="shared" si="19"/>
        <v>1 квартал 2012</v>
      </c>
      <c r="M168" s="250"/>
      <c r="N168" s="260" t="s">
        <v>504</v>
      </c>
      <c r="O168" s="188"/>
      <c r="P168" s="83">
        <v>12</v>
      </c>
      <c r="Q168" s="83">
        <v>221945.46839999998</v>
      </c>
      <c r="R168" s="83"/>
      <c r="S168" s="83"/>
      <c r="T168" s="83"/>
      <c r="U168" s="83"/>
      <c r="V168" s="83"/>
      <c r="W168" s="83"/>
      <c r="X168" s="167"/>
      <c r="Z168" s="237">
        <f t="shared" si="20"/>
        <v>0</v>
      </c>
    </row>
    <row r="169" spans="1:26" s="141" customFormat="1" ht="45" x14ac:dyDescent="0.25">
      <c r="A169" s="186">
        <v>16.18</v>
      </c>
      <c r="B169" s="165" t="s">
        <v>407</v>
      </c>
      <c r="C169" s="110">
        <v>4030000</v>
      </c>
      <c r="D169" s="269" t="s">
        <v>133</v>
      </c>
      <c r="E169" s="228"/>
      <c r="F169" s="11">
        <v>233</v>
      </c>
      <c r="G169" s="11" t="s">
        <v>454</v>
      </c>
      <c r="H169" s="129">
        <v>99.9</v>
      </c>
      <c r="I169" s="151">
        <v>98258</v>
      </c>
      <c r="J169" s="83" t="s">
        <v>435</v>
      </c>
      <c r="K169" s="188">
        <v>345675.21</v>
      </c>
      <c r="L169" s="246" t="str">
        <f t="shared" si="19"/>
        <v>1 квартал 2012</v>
      </c>
      <c r="M169" s="250"/>
      <c r="N169" s="260" t="s">
        <v>504</v>
      </c>
      <c r="O169" s="188"/>
      <c r="P169" s="83">
        <v>12</v>
      </c>
      <c r="Q169" s="83">
        <v>345675.21</v>
      </c>
      <c r="R169" s="83"/>
      <c r="S169" s="83"/>
      <c r="T169" s="83"/>
      <c r="U169" s="83"/>
      <c r="V169" s="83"/>
      <c r="W169" s="83"/>
      <c r="X169" s="167"/>
      <c r="Z169" s="237">
        <f t="shared" si="20"/>
        <v>0</v>
      </c>
    </row>
    <row r="170" spans="1:26" s="141" customFormat="1" x14ac:dyDescent="0.25">
      <c r="A170" s="186"/>
      <c r="B170" s="165"/>
      <c r="C170" s="110"/>
      <c r="D170" s="269"/>
      <c r="E170" s="228"/>
      <c r="F170" s="11"/>
      <c r="G170" s="11"/>
      <c r="H170" s="129"/>
      <c r="I170" s="151"/>
      <c r="J170" s="83"/>
      <c r="K170" s="188"/>
      <c r="L170" s="246"/>
      <c r="M170" s="250"/>
      <c r="N170" s="260"/>
      <c r="O170" s="188"/>
      <c r="P170" s="83"/>
      <c r="Q170" s="83"/>
      <c r="R170" s="83"/>
      <c r="S170" s="83"/>
      <c r="T170" s="83"/>
      <c r="U170" s="83"/>
      <c r="V170" s="83"/>
      <c r="W170" s="83"/>
      <c r="X170" s="167"/>
      <c r="Z170" s="237"/>
    </row>
    <row r="171" spans="1:26" s="141" customFormat="1" ht="32.25" x14ac:dyDescent="0.25">
      <c r="A171" s="186">
        <v>16.190000000000001</v>
      </c>
      <c r="B171" s="165" t="s">
        <v>407</v>
      </c>
      <c r="C171" s="110">
        <v>4020000</v>
      </c>
      <c r="D171" s="269" t="s">
        <v>490</v>
      </c>
      <c r="E171" s="228"/>
      <c r="F171" s="11">
        <v>114</v>
      </c>
      <c r="G171" s="11" t="s">
        <v>455</v>
      </c>
      <c r="H171" s="129">
        <v>175</v>
      </c>
      <c r="I171" s="151">
        <v>98401</v>
      </c>
      <c r="J171" s="24" t="s">
        <v>429</v>
      </c>
      <c r="K171" s="188">
        <v>547814.87562185014</v>
      </c>
      <c r="L171" s="246" t="str">
        <f t="shared" si="19"/>
        <v>1 квартал 2012</v>
      </c>
      <c r="M171" s="250"/>
      <c r="N171" s="260" t="s">
        <v>504</v>
      </c>
      <c r="O171" s="188"/>
      <c r="P171" s="83">
        <v>12</v>
      </c>
      <c r="Q171" s="83">
        <v>547814.87562185014</v>
      </c>
      <c r="R171" s="83"/>
      <c r="S171" s="83"/>
      <c r="T171" s="83"/>
      <c r="U171" s="83"/>
      <c r="V171" s="83"/>
      <c r="W171" s="83"/>
      <c r="X171" s="167"/>
      <c r="Z171" s="237">
        <f t="shared" si="20"/>
        <v>0</v>
      </c>
    </row>
    <row r="172" spans="1:26" s="230" customFormat="1" ht="24" x14ac:dyDescent="0.2">
      <c r="A172" s="232">
        <v>17</v>
      </c>
      <c r="B172" s="156"/>
      <c r="C172" s="157"/>
      <c r="D172" s="264" t="s">
        <v>134</v>
      </c>
      <c r="E172" s="159"/>
      <c r="F172" s="159"/>
      <c r="G172" s="160"/>
      <c r="H172" s="160"/>
      <c r="I172" s="161"/>
      <c r="J172" s="162"/>
      <c r="K172" s="162">
        <f>SUM(K173:K180)</f>
        <v>3735144.8143000002</v>
      </c>
      <c r="L172" s="244"/>
      <c r="M172" s="244"/>
      <c r="N172" s="254"/>
      <c r="O172" s="162"/>
      <c r="P172" s="162">
        <f t="shared" ref="P172:W172" si="21">SUM(P173:P180)</f>
        <v>96</v>
      </c>
      <c r="Q172" s="162">
        <f t="shared" si="21"/>
        <v>2185144.8143000002</v>
      </c>
      <c r="R172" s="162">
        <f t="shared" si="21"/>
        <v>0</v>
      </c>
      <c r="S172" s="162">
        <f t="shared" si="21"/>
        <v>0</v>
      </c>
      <c r="T172" s="162">
        <f t="shared" si="21"/>
        <v>0</v>
      </c>
      <c r="U172" s="162">
        <f t="shared" si="21"/>
        <v>0</v>
      </c>
      <c r="V172" s="162">
        <f t="shared" si="21"/>
        <v>12</v>
      </c>
      <c r="W172" s="162">
        <f t="shared" si="21"/>
        <v>1550000</v>
      </c>
      <c r="X172" s="163"/>
      <c r="Y172" s="231"/>
      <c r="Z172" s="237">
        <f t="shared" si="20"/>
        <v>0</v>
      </c>
    </row>
    <row r="173" spans="1:26" s="141" customFormat="1" ht="32.25" x14ac:dyDescent="0.25">
      <c r="A173" s="186">
        <v>17.100000000000001</v>
      </c>
      <c r="B173" s="165" t="s">
        <v>414</v>
      </c>
      <c r="C173" s="110">
        <v>7020020</v>
      </c>
      <c r="D173" s="267" t="s">
        <v>114</v>
      </c>
      <c r="E173" s="11"/>
      <c r="F173" s="11">
        <v>362</v>
      </c>
      <c r="G173" s="81" t="s">
        <v>22</v>
      </c>
      <c r="H173" s="129">
        <v>12</v>
      </c>
      <c r="I173" s="151">
        <v>98231552</v>
      </c>
      <c r="J173" s="24" t="s">
        <v>432</v>
      </c>
      <c r="K173" s="188">
        <v>14913.15</v>
      </c>
      <c r="L173" s="246" t="str">
        <f t="shared" ref="L173:L180" si="22">IF(Q173&gt;0,"1 квартал 2012",IF(S173&gt;0,"2 квартал 2012",IF(U173&gt;0,"3 квартал 2012","4 квартал 2012")))</f>
        <v>1 квартал 2012</v>
      </c>
      <c r="M173" s="250"/>
      <c r="N173" s="260" t="s">
        <v>504</v>
      </c>
      <c r="O173" s="188"/>
      <c r="P173" s="83">
        <v>12</v>
      </c>
      <c r="Q173" s="83">
        <v>14913.15</v>
      </c>
      <c r="R173" s="83"/>
      <c r="S173" s="83"/>
      <c r="T173" s="83"/>
      <c r="U173" s="83"/>
      <c r="V173" s="83"/>
      <c r="W173" s="83"/>
      <c r="X173" s="167"/>
      <c r="Z173" s="237">
        <f t="shared" si="20"/>
        <v>0</v>
      </c>
    </row>
    <row r="174" spans="1:26" s="141" customFormat="1" ht="32.25" x14ac:dyDescent="0.25">
      <c r="A174" s="186">
        <v>17.2</v>
      </c>
      <c r="B174" s="165" t="s">
        <v>414</v>
      </c>
      <c r="C174" s="110">
        <v>7020020</v>
      </c>
      <c r="D174" s="269" t="s">
        <v>128</v>
      </c>
      <c r="E174" s="228"/>
      <c r="F174" s="11">
        <v>362</v>
      </c>
      <c r="G174" s="81" t="s">
        <v>22</v>
      </c>
      <c r="H174" s="129">
        <v>12</v>
      </c>
      <c r="I174" s="151">
        <v>98218501</v>
      </c>
      <c r="J174" s="24" t="s">
        <v>434</v>
      </c>
      <c r="K174" s="188">
        <v>36643.199999999997</v>
      </c>
      <c r="L174" s="246" t="str">
        <f t="shared" si="22"/>
        <v>1 квартал 2012</v>
      </c>
      <c r="M174" s="250"/>
      <c r="N174" s="260" t="s">
        <v>504</v>
      </c>
      <c r="O174" s="188"/>
      <c r="P174" s="83">
        <v>12</v>
      </c>
      <c r="Q174" s="83">
        <v>36643.199999999997</v>
      </c>
      <c r="R174" s="83"/>
      <c r="S174" s="83"/>
      <c r="T174" s="83"/>
      <c r="U174" s="83"/>
      <c r="V174" s="83"/>
      <c r="W174" s="83"/>
      <c r="X174" s="167"/>
      <c r="Z174" s="237">
        <f t="shared" si="20"/>
        <v>0</v>
      </c>
    </row>
    <row r="175" spans="1:26" s="141" customFormat="1" ht="32.25" x14ac:dyDescent="0.25">
      <c r="A175" s="186">
        <v>17.3</v>
      </c>
      <c r="B175" s="165" t="s">
        <v>414</v>
      </c>
      <c r="C175" s="110">
        <v>7020020</v>
      </c>
      <c r="D175" s="269" t="s">
        <v>120</v>
      </c>
      <c r="E175" s="228"/>
      <c r="F175" s="11">
        <v>362</v>
      </c>
      <c r="G175" s="81" t="s">
        <v>22</v>
      </c>
      <c r="H175" s="129">
        <v>12</v>
      </c>
      <c r="I175" s="151">
        <v>98229</v>
      </c>
      <c r="J175" s="24" t="s">
        <v>439</v>
      </c>
      <c r="K175" s="188">
        <v>5094.6720000000005</v>
      </c>
      <c r="L175" s="246" t="str">
        <f t="shared" si="22"/>
        <v>1 квартал 2012</v>
      </c>
      <c r="M175" s="250"/>
      <c r="N175" s="260" t="s">
        <v>504</v>
      </c>
      <c r="O175" s="188"/>
      <c r="P175" s="83">
        <v>12</v>
      </c>
      <c r="Q175" s="83">
        <v>5094.6720000000005</v>
      </c>
      <c r="R175" s="83"/>
      <c r="S175" s="83"/>
      <c r="T175" s="83"/>
      <c r="U175" s="83"/>
      <c r="V175" s="83"/>
      <c r="W175" s="83"/>
      <c r="X175" s="167"/>
      <c r="Z175" s="237">
        <f t="shared" si="20"/>
        <v>0</v>
      </c>
    </row>
    <row r="176" spans="1:26" s="141" customFormat="1" ht="32.25" x14ac:dyDescent="0.25">
      <c r="A176" s="186">
        <v>17.5</v>
      </c>
      <c r="B176" s="165" t="s">
        <v>414</v>
      </c>
      <c r="C176" s="110">
        <v>7020020</v>
      </c>
      <c r="D176" s="269" t="s">
        <v>121</v>
      </c>
      <c r="E176" s="228"/>
      <c r="F176" s="11">
        <v>362</v>
      </c>
      <c r="G176" s="81" t="s">
        <v>22</v>
      </c>
      <c r="H176" s="129">
        <v>12</v>
      </c>
      <c r="I176" s="151">
        <v>98404</v>
      </c>
      <c r="J176" s="24" t="s">
        <v>440</v>
      </c>
      <c r="K176" s="188">
        <v>164738.08319999999</v>
      </c>
      <c r="L176" s="246" t="str">
        <f t="shared" si="22"/>
        <v>1 квартал 2012</v>
      </c>
      <c r="M176" s="250"/>
      <c r="N176" s="260" t="s">
        <v>504</v>
      </c>
      <c r="O176" s="188"/>
      <c r="P176" s="83">
        <v>12</v>
      </c>
      <c r="Q176" s="83">
        <v>164738.08319999999</v>
      </c>
      <c r="R176" s="83"/>
      <c r="S176" s="83"/>
      <c r="T176" s="83"/>
      <c r="U176" s="83"/>
      <c r="V176" s="83"/>
      <c r="W176" s="83"/>
      <c r="X176" s="167"/>
      <c r="Z176" s="237">
        <f t="shared" si="20"/>
        <v>0</v>
      </c>
    </row>
    <row r="177" spans="1:26" s="141" customFormat="1" ht="32.25" x14ac:dyDescent="0.25">
      <c r="A177" s="186">
        <v>17.600000000000001</v>
      </c>
      <c r="B177" s="165" t="s">
        <v>414</v>
      </c>
      <c r="C177" s="110">
        <v>7020020</v>
      </c>
      <c r="D177" s="269" t="s">
        <v>122</v>
      </c>
      <c r="E177" s="228"/>
      <c r="F177" s="11">
        <v>362</v>
      </c>
      <c r="G177" s="81" t="s">
        <v>22</v>
      </c>
      <c r="H177" s="129">
        <v>12</v>
      </c>
      <c r="I177" s="151">
        <v>98406</v>
      </c>
      <c r="J177" s="24" t="s">
        <v>441</v>
      </c>
      <c r="K177" s="188">
        <v>59619.01</v>
      </c>
      <c r="L177" s="246" t="str">
        <f t="shared" si="22"/>
        <v>1 квартал 2012</v>
      </c>
      <c r="M177" s="250"/>
      <c r="N177" s="260" t="s">
        <v>504</v>
      </c>
      <c r="O177" s="188"/>
      <c r="P177" s="83">
        <v>12</v>
      </c>
      <c r="Q177" s="83">
        <v>59619.01</v>
      </c>
      <c r="R177" s="83"/>
      <c r="S177" s="83"/>
      <c r="T177" s="83"/>
      <c r="U177" s="83"/>
      <c r="V177" s="83"/>
      <c r="W177" s="83"/>
      <c r="X177" s="167"/>
      <c r="Z177" s="237">
        <f t="shared" si="20"/>
        <v>0</v>
      </c>
    </row>
    <row r="178" spans="1:26" s="141" customFormat="1" ht="32.25" x14ac:dyDescent="0.25">
      <c r="A178" s="186">
        <v>17.7</v>
      </c>
      <c r="B178" s="165" t="s">
        <v>414</v>
      </c>
      <c r="C178" s="110">
        <v>7020020</v>
      </c>
      <c r="D178" s="269" t="s">
        <v>123</v>
      </c>
      <c r="E178" s="228"/>
      <c r="F178" s="11">
        <v>362</v>
      </c>
      <c r="G178" s="81" t="s">
        <v>22</v>
      </c>
      <c r="H178" s="129">
        <v>12</v>
      </c>
      <c r="I178" s="151">
        <v>98237551</v>
      </c>
      <c r="J178" s="24" t="s">
        <v>445</v>
      </c>
      <c r="K178" s="188">
        <v>42.511099999999999</v>
      </c>
      <c r="L178" s="246" t="str">
        <f t="shared" si="22"/>
        <v>1 квартал 2012</v>
      </c>
      <c r="M178" s="250"/>
      <c r="N178" s="260" t="s">
        <v>504</v>
      </c>
      <c r="O178" s="188"/>
      <c r="P178" s="83">
        <v>12</v>
      </c>
      <c r="Q178" s="83">
        <v>42.511099999999999</v>
      </c>
      <c r="R178" s="83"/>
      <c r="S178" s="83"/>
      <c r="T178" s="83"/>
      <c r="U178" s="83"/>
      <c r="V178" s="83"/>
      <c r="W178" s="83"/>
      <c r="X178" s="167"/>
      <c r="Z178" s="237">
        <f t="shared" si="20"/>
        <v>0</v>
      </c>
    </row>
    <row r="179" spans="1:26" s="141" customFormat="1" ht="32.25" x14ac:dyDescent="0.25">
      <c r="A179" s="186">
        <v>17.8</v>
      </c>
      <c r="B179" s="165" t="s">
        <v>414</v>
      </c>
      <c r="C179" s="110">
        <v>7020020</v>
      </c>
      <c r="D179" s="269" t="s">
        <v>124</v>
      </c>
      <c r="E179" s="228"/>
      <c r="F179" s="11">
        <v>362</v>
      </c>
      <c r="G179" s="81" t="s">
        <v>22</v>
      </c>
      <c r="H179" s="129">
        <v>12</v>
      </c>
      <c r="I179" s="151">
        <v>98231509</v>
      </c>
      <c r="J179" s="24" t="s">
        <v>443</v>
      </c>
      <c r="K179" s="188">
        <v>27688.188000000002</v>
      </c>
      <c r="L179" s="246" t="str">
        <f t="shared" si="22"/>
        <v>1 квартал 2012</v>
      </c>
      <c r="M179" s="250"/>
      <c r="N179" s="260" t="s">
        <v>504</v>
      </c>
      <c r="O179" s="188"/>
      <c r="P179" s="83">
        <v>12</v>
      </c>
      <c r="Q179" s="83">
        <v>27688.188000000002</v>
      </c>
      <c r="R179" s="83"/>
      <c r="S179" s="83"/>
      <c r="T179" s="83"/>
      <c r="U179" s="83"/>
      <c r="V179" s="83"/>
      <c r="W179" s="83"/>
      <c r="X179" s="167"/>
      <c r="Z179" s="237">
        <f t="shared" si="20"/>
        <v>0</v>
      </c>
    </row>
    <row r="180" spans="1:26" s="141" customFormat="1" ht="32.25" x14ac:dyDescent="0.25">
      <c r="A180" s="186">
        <v>17.899999999999999</v>
      </c>
      <c r="B180" s="165" t="s">
        <v>414</v>
      </c>
      <c r="C180" s="110">
        <v>7020020</v>
      </c>
      <c r="D180" s="269" t="s">
        <v>490</v>
      </c>
      <c r="E180" s="228"/>
      <c r="F180" s="11">
        <v>362</v>
      </c>
      <c r="G180" s="81" t="s">
        <v>22</v>
      </c>
      <c r="H180" s="129">
        <v>12</v>
      </c>
      <c r="I180" s="151">
        <v>98401</v>
      </c>
      <c r="J180" s="24" t="s">
        <v>429</v>
      </c>
      <c r="K180" s="188">
        <v>3426406</v>
      </c>
      <c r="L180" s="246" t="str">
        <f t="shared" si="22"/>
        <v>1 квартал 2012</v>
      </c>
      <c r="M180" s="250"/>
      <c r="N180" s="260" t="s">
        <v>504</v>
      </c>
      <c r="O180" s="188"/>
      <c r="P180" s="83">
        <v>12</v>
      </c>
      <c r="Q180" s="83">
        <v>1876406</v>
      </c>
      <c r="R180" s="83"/>
      <c r="S180" s="83"/>
      <c r="T180" s="83"/>
      <c r="U180" s="83"/>
      <c r="V180" s="83">
        <v>12</v>
      </c>
      <c r="W180" s="83">
        <v>1550000</v>
      </c>
      <c r="X180" s="167"/>
      <c r="Z180" s="237">
        <f t="shared" si="20"/>
        <v>0</v>
      </c>
    </row>
    <row r="181" spans="1:26" s="230" customFormat="1" ht="14.25" x14ac:dyDescent="0.2">
      <c r="A181" s="232">
        <v>18</v>
      </c>
      <c r="B181" s="156"/>
      <c r="C181" s="157"/>
      <c r="D181" s="264" t="s">
        <v>135</v>
      </c>
      <c r="E181" s="159"/>
      <c r="F181" s="159"/>
      <c r="G181" s="160"/>
      <c r="H181" s="160">
        <f>SUM(H182:H198)</f>
        <v>343</v>
      </c>
      <c r="I181" s="161"/>
      <c r="J181" s="162"/>
      <c r="K181" s="162">
        <f>SUM(K182:K198)</f>
        <v>1587518.8852496245</v>
      </c>
      <c r="L181" s="244"/>
      <c r="M181" s="244"/>
      <c r="N181" s="254"/>
      <c r="O181" s="162"/>
      <c r="P181" s="162">
        <f t="shared" ref="P181:W181" si="23">SUM(P182:P198)</f>
        <v>204</v>
      </c>
      <c r="Q181" s="162">
        <f t="shared" si="23"/>
        <v>1587518.8852496245</v>
      </c>
      <c r="R181" s="162">
        <f t="shared" si="23"/>
        <v>0</v>
      </c>
      <c r="S181" s="162">
        <f t="shared" si="23"/>
        <v>0</v>
      </c>
      <c r="T181" s="162">
        <f t="shared" si="23"/>
        <v>0</v>
      </c>
      <c r="U181" s="162">
        <f t="shared" si="23"/>
        <v>0</v>
      </c>
      <c r="V181" s="162">
        <f t="shared" si="23"/>
        <v>0</v>
      </c>
      <c r="W181" s="162">
        <f t="shared" si="23"/>
        <v>0</v>
      </c>
      <c r="X181" s="163"/>
      <c r="Y181" s="231"/>
      <c r="Z181" s="237">
        <f t="shared" si="20"/>
        <v>0</v>
      </c>
    </row>
    <row r="182" spans="1:26" s="141" customFormat="1" ht="32.25" x14ac:dyDescent="0.25">
      <c r="A182" s="186">
        <v>18.100000000000001</v>
      </c>
      <c r="B182" s="165" t="s">
        <v>409</v>
      </c>
      <c r="C182" s="110">
        <v>4010000</v>
      </c>
      <c r="D182" s="267" t="s">
        <v>488</v>
      </c>
      <c r="E182" s="11"/>
      <c r="F182" s="11">
        <v>245</v>
      </c>
      <c r="G182" s="81" t="s">
        <v>487</v>
      </c>
      <c r="H182" s="129">
        <v>3</v>
      </c>
      <c r="I182" s="151">
        <v>98231552</v>
      </c>
      <c r="J182" s="24" t="s">
        <v>432</v>
      </c>
      <c r="K182" s="188">
        <v>17006.515800000001</v>
      </c>
      <c r="L182" s="246" t="str">
        <f t="shared" ref="L182:L198" si="24">IF(Q182&gt;0,"1 квартал 2012",IF(S182&gt;0,"2 квартал 2012",IF(U182&gt;0,"3 квартал 2012","4 квартал 2012")))</f>
        <v>1 квартал 2012</v>
      </c>
      <c r="M182" s="250"/>
      <c r="N182" s="260" t="s">
        <v>504</v>
      </c>
      <c r="O182" s="188"/>
      <c r="P182" s="83">
        <v>12</v>
      </c>
      <c r="Q182" s="83">
        <v>17006.515800000001</v>
      </c>
      <c r="R182" s="83"/>
      <c r="S182" s="83"/>
      <c r="T182" s="83"/>
      <c r="U182" s="83"/>
      <c r="V182" s="83"/>
      <c r="W182" s="83"/>
      <c r="X182" s="167"/>
      <c r="Z182" s="237">
        <f t="shared" si="20"/>
        <v>0</v>
      </c>
    </row>
    <row r="183" spans="1:26" s="141" customFormat="1" ht="32.25" x14ac:dyDescent="0.25">
      <c r="A183" s="186">
        <v>18.2</v>
      </c>
      <c r="B183" s="165" t="s">
        <v>409</v>
      </c>
      <c r="C183" s="110">
        <v>4010000</v>
      </c>
      <c r="D183" s="269" t="s">
        <v>115</v>
      </c>
      <c r="E183" s="228"/>
      <c r="F183" s="11">
        <v>245</v>
      </c>
      <c r="G183" s="81" t="s">
        <v>487</v>
      </c>
      <c r="H183" s="129"/>
      <c r="I183" s="151">
        <v>98201551</v>
      </c>
      <c r="J183" s="24" t="s">
        <v>433</v>
      </c>
      <c r="K183" s="188">
        <v>25250.832768</v>
      </c>
      <c r="L183" s="246" t="str">
        <f t="shared" si="24"/>
        <v>1 квартал 2012</v>
      </c>
      <c r="M183" s="250"/>
      <c r="N183" s="260" t="s">
        <v>504</v>
      </c>
      <c r="O183" s="188"/>
      <c r="P183" s="83">
        <v>12</v>
      </c>
      <c r="Q183" s="83">
        <v>25250.832768</v>
      </c>
      <c r="R183" s="83"/>
      <c r="S183" s="83"/>
      <c r="T183" s="83"/>
      <c r="U183" s="83"/>
      <c r="V183" s="83"/>
      <c r="W183" s="83"/>
      <c r="X183" s="167"/>
      <c r="Z183" s="237">
        <f t="shared" si="20"/>
        <v>0</v>
      </c>
    </row>
    <row r="184" spans="1:26" s="141" customFormat="1" ht="32.25" x14ac:dyDescent="0.25">
      <c r="A184" s="186">
        <v>18.3</v>
      </c>
      <c r="B184" s="165" t="s">
        <v>409</v>
      </c>
      <c r="C184" s="110">
        <v>4010000</v>
      </c>
      <c r="D184" s="269" t="s">
        <v>128</v>
      </c>
      <c r="E184" s="228"/>
      <c r="F184" s="11">
        <v>245</v>
      </c>
      <c r="G184" s="81" t="s">
        <v>487</v>
      </c>
      <c r="H184" s="129">
        <v>2</v>
      </c>
      <c r="I184" s="151">
        <v>98218501</v>
      </c>
      <c r="J184" s="24" t="s">
        <v>434</v>
      </c>
      <c r="K184" s="188">
        <v>8302.7032553046629</v>
      </c>
      <c r="L184" s="246" t="str">
        <f t="shared" si="24"/>
        <v>1 квартал 2012</v>
      </c>
      <c r="M184" s="250"/>
      <c r="N184" s="260" t="s">
        <v>504</v>
      </c>
      <c r="O184" s="188"/>
      <c r="P184" s="83">
        <v>12</v>
      </c>
      <c r="Q184" s="83">
        <v>8302.7032553046629</v>
      </c>
      <c r="R184" s="83"/>
      <c r="S184" s="83"/>
      <c r="T184" s="83"/>
      <c r="U184" s="83"/>
      <c r="V184" s="83"/>
      <c r="W184" s="83"/>
      <c r="X184" s="167"/>
      <c r="Z184" s="237">
        <f t="shared" si="20"/>
        <v>0</v>
      </c>
    </row>
    <row r="185" spans="1:26" s="141" customFormat="1" ht="32.25" x14ac:dyDescent="0.25">
      <c r="A185" s="186">
        <v>18.399999999999999</v>
      </c>
      <c r="B185" s="165" t="s">
        <v>409</v>
      </c>
      <c r="C185" s="110">
        <v>4010000</v>
      </c>
      <c r="D185" s="269" t="s">
        <v>118</v>
      </c>
      <c r="E185" s="228"/>
      <c r="F185" s="11">
        <v>245</v>
      </c>
      <c r="G185" s="81" t="s">
        <v>487</v>
      </c>
      <c r="H185" s="129">
        <v>11</v>
      </c>
      <c r="I185" s="151">
        <v>98224551</v>
      </c>
      <c r="J185" s="24" t="s">
        <v>436</v>
      </c>
      <c r="K185" s="188">
        <v>7995.8532000000005</v>
      </c>
      <c r="L185" s="246" t="str">
        <f t="shared" si="24"/>
        <v>1 квартал 2012</v>
      </c>
      <c r="M185" s="250"/>
      <c r="N185" s="260" t="s">
        <v>504</v>
      </c>
      <c r="O185" s="188"/>
      <c r="P185" s="83">
        <v>12</v>
      </c>
      <c r="Q185" s="83">
        <v>7995.8532000000005</v>
      </c>
      <c r="R185" s="83"/>
      <c r="S185" s="83"/>
      <c r="T185" s="83"/>
      <c r="U185" s="83"/>
      <c r="V185" s="83"/>
      <c r="W185" s="83"/>
      <c r="X185" s="167"/>
      <c r="Z185" s="237">
        <f t="shared" si="20"/>
        <v>0</v>
      </c>
    </row>
    <row r="186" spans="1:26" s="141" customFormat="1" ht="32.25" x14ac:dyDescent="0.25">
      <c r="A186" s="186">
        <v>18.600000000000001</v>
      </c>
      <c r="B186" s="165" t="s">
        <v>409</v>
      </c>
      <c r="C186" s="110">
        <v>4010000</v>
      </c>
      <c r="D186" s="269" t="s">
        <v>119</v>
      </c>
      <c r="E186" s="228"/>
      <c r="F186" s="11">
        <v>245</v>
      </c>
      <c r="G186" s="81" t="s">
        <v>487</v>
      </c>
      <c r="H186" s="129">
        <v>20</v>
      </c>
      <c r="I186" s="151">
        <v>98227501</v>
      </c>
      <c r="J186" s="24" t="s">
        <v>430</v>
      </c>
      <c r="K186" s="188">
        <v>87251.662700000001</v>
      </c>
      <c r="L186" s="246" t="str">
        <f t="shared" si="24"/>
        <v>1 квартал 2012</v>
      </c>
      <c r="M186" s="250"/>
      <c r="N186" s="260" t="s">
        <v>504</v>
      </c>
      <c r="O186" s="188"/>
      <c r="P186" s="83">
        <v>12</v>
      </c>
      <c r="Q186" s="83">
        <v>87251.662700000001</v>
      </c>
      <c r="R186" s="83"/>
      <c r="S186" s="83"/>
      <c r="T186" s="83"/>
      <c r="U186" s="83"/>
      <c r="V186" s="83"/>
      <c r="W186" s="83"/>
      <c r="X186" s="167"/>
      <c r="Z186" s="237">
        <f t="shared" si="20"/>
        <v>0</v>
      </c>
    </row>
    <row r="187" spans="1:26" s="141" customFormat="1" ht="32.25" x14ac:dyDescent="0.25">
      <c r="A187" s="186">
        <v>18.7</v>
      </c>
      <c r="B187" s="165" t="s">
        <v>409</v>
      </c>
      <c r="C187" s="110">
        <v>4010000</v>
      </c>
      <c r="D187" s="269" t="s">
        <v>120</v>
      </c>
      <c r="E187" s="228"/>
      <c r="F187" s="11">
        <v>245</v>
      </c>
      <c r="G187" s="81" t="s">
        <v>487</v>
      </c>
      <c r="H187" s="129">
        <v>4</v>
      </c>
      <c r="I187" s="151">
        <v>98229</v>
      </c>
      <c r="J187" s="24" t="s">
        <v>439</v>
      </c>
      <c r="K187" s="188">
        <v>58822.682900000007</v>
      </c>
      <c r="L187" s="246" t="str">
        <f t="shared" si="24"/>
        <v>1 квартал 2012</v>
      </c>
      <c r="M187" s="250"/>
      <c r="N187" s="260" t="s">
        <v>504</v>
      </c>
      <c r="O187" s="188"/>
      <c r="P187" s="83">
        <v>12</v>
      </c>
      <c r="Q187" s="83">
        <v>58822.682900000007</v>
      </c>
      <c r="R187" s="83"/>
      <c r="S187" s="83"/>
      <c r="T187" s="83"/>
      <c r="U187" s="83"/>
      <c r="V187" s="83"/>
      <c r="W187" s="83"/>
      <c r="X187" s="167"/>
      <c r="Z187" s="237">
        <f t="shared" si="20"/>
        <v>0</v>
      </c>
    </row>
    <row r="188" spans="1:26" s="141" customFormat="1" ht="32.25" x14ac:dyDescent="0.25">
      <c r="A188" s="186">
        <v>18.8</v>
      </c>
      <c r="B188" s="165" t="s">
        <v>409</v>
      </c>
      <c r="C188" s="110">
        <v>4010000</v>
      </c>
      <c r="D188" s="269" t="s">
        <v>121</v>
      </c>
      <c r="E188" s="228"/>
      <c r="F188" s="11">
        <v>245</v>
      </c>
      <c r="G188" s="81" t="s">
        <v>487</v>
      </c>
      <c r="H188" s="129">
        <v>11</v>
      </c>
      <c r="I188" s="151">
        <v>98404</v>
      </c>
      <c r="J188" s="24" t="s">
        <v>440</v>
      </c>
      <c r="K188" s="188">
        <v>50592.173999999999</v>
      </c>
      <c r="L188" s="246" t="str">
        <f t="shared" si="24"/>
        <v>1 квартал 2012</v>
      </c>
      <c r="M188" s="250"/>
      <c r="N188" s="260" t="s">
        <v>504</v>
      </c>
      <c r="O188" s="188"/>
      <c r="P188" s="83">
        <v>12</v>
      </c>
      <c r="Q188" s="83">
        <v>50592.173999999999</v>
      </c>
      <c r="R188" s="83"/>
      <c r="S188" s="83"/>
      <c r="T188" s="83"/>
      <c r="U188" s="83"/>
      <c r="V188" s="83"/>
      <c r="W188" s="83"/>
      <c r="X188" s="167"/>
      <c r="Z188" s="237">
        <f t="shared" si="20"/>
        <v>0</v>
      </c>
    </row>
    <row r="189" spans="1:26" s="141" customFormat="1" ht="32.25" x14ac:dyDescent="0.25">
      <c r="A189" s="186">
        <v>18.899999999999999</v>
      </c>
      <c r="B189" s="165" t="s">
        <v>409</v>
      </c>
      <c r="C189" s="110">
        <v>4010000</v>
      </c>
      <c r="D189" s="269" t="s">
        <v>122</v>
      </c>
      <c r="E189" s="228"/>
      <c r="F189" s="11">
        <v>245</v>
      </c>
      <c r="G189" s="81" t="s">
        <v>487</v>
      </c>
      <c r="H189" s="129">
        <v>17</v>
      </c>
      <c r="I189" s="151">
        <v>98406</v>
      </c>
      <c r="J189" s="24" t="s">
        <v>441</v>
      </c>
      <c r="K189" s="188">
        <v>64484.866100000007</v>
      </c>
      <c r="L189" s="246" t="str">
        <f t="shared" si="24"/>
        <v>1 квартал 2012</v>
      </c>
      <c r="M189" s="250"/>
      <c r="N189" s="260" t="s">
        <v>504</v>
      </c>
      <c r="O189" s="188"/>
      <c r="P189" s="83">
        <v>12</v>
      </c>
      <c r="Q189" s="83">
        <v>64484.866100000007</v>
      </c>
      <c r="R189" s="83"/>
      <c r="S189" s="83"/>
      <c r="T189" s="83"/>
      <c r="U189" s="83"/>
      <c r="V189" s="83"/>
      <c r="W189" s="83"/>
      <c r="X189" s="167"/>
      <c r="Z189" s="237">
        <f t="shared" si="20"/>
        <v>0</v>
      </c>
    </row>
    <row r="190" spans="1:26" s="141" customFormat="1" ht="32.25" x14ac:dyDescent="0.25">
      <c r="A190" s="186">
        <v>18.100000000000001</v>
      </c>
      <c r="B190" s="165" t="s">
        <v>409</v>
      </c>
      <c r="C190" s="110">
        <v>4010000</v>
      </c>
      <c r="D190" s="269" t="s">
        <v>123</v>
      </c>
      <c r="E190" s="228"/>
      <c r="F190" s="11">
        <v>245</v>
      </c>
      <c r="G190" s="81" t="s">
        <v>487</v>
      </c>
      <c r="H190" s="129">
        <v>2</v>
      </c>
      <c r="I190" s="151">
        <v>98237551</v>
      </c>
      <c r="J190" s="24" t="s">
        <v>445</v>
      </c>
      <c r="K190" s="188">
        <v>22384</v>
      </c>
      <c r="L190" s="246" t="str">
        <f t="shared" si="24"/>
        <v>1 квартал 2012</v>
      </c>
      <c r="M190" s="250"/>
      <c r="N190" s="260" t="s">
        <v>504</v>
      </c>
      <c r="O190" s="188"/>
      <c r="P190" s="83">
        <v>12</v>
      </c>
      <c r="Q190" s="83">
        <v>22384</v>
      </c>
      <c r="R190" s="83"/>
      <c r="S190" s="83"/>
      <c r="T190" s="83"/>
      <c r="U190" s="83"/>
      <c r="V190" s="83"/>
      <c r="W190" s="83"/>
      <c r="X190" s="167"/>
      <c r="Z190" s="237">
        <f t="shared" si="20"/>
        <v>0</v>
      </c>
    </row>
    <row r="191" spans="1:26" s="141" customFormat="1" ht="32.25" x14ac:dyDescent="0.25">
      <c r="A191" s="186">
        <v>18.11</v>
      </c>
      <c r="B191" s="165" t="s">
        <v>409</v>
      </c>
      <c r="C191" s="110">
        <v>4010000</v>
      </c>
      <c r="D191" s="269" t="s">
        <v>129</v>
      </c>
      <c r="E191" s="228"/>
      <c r="F191" s="11">
        <v>245</v>
      </c>
      <c r="G191" s="81" t="s">
        <v>487</v>
      </c>
      <c r="H191" s="129">
        <v>2</v>
      </c>
      <c r="I191" s="151">
        <v>98241501</v>
      </c>
      <c r="J191" s="24" t="s">
        <v>456</v>
      </c>
      <c r="K191" s="188">
        <v>9414.9</v>
      </c>
      <c r="L191" s="246" t="str">
        <f t="shared" si="24"/>
        <v>1 квартал 2012</v>
      </c>
      <c r="M191" s="250"/>
      <c r="N191" s="260" t="s">
        <v>504</v>
      </c>
      <c r="O191" s="188"/>
      <c r="P191" s="83">
        <v>12</v>
      </c>
      <c r="Q191" s="83">
        <v>9414.9</v>
      </c>
      <c r="R191" s="83"/>
      <c r="S191" s="83"/>
      <c r="T191" s="83"/>
      <c r="U191" s="83"/>
      <c r="V191" s="83"/>
      <c r="W191" s="83"/>
      <c r="X191" s="167"/>
      <c r="Z191" s="237">
        <f t="shared" si="20"/>
        <v>0</v>
      </c>
    </row>
    <row r="192" spans="1:26" s="141" customFormat="1" ht="32.25" x14ac:dyDescent="0.25">
      <c r="A192" s="186">
        <v>18.12</v>
      </c>
      <c r="B192" s="165" t="s">
        <v>409</v>
      </c>
      <c r="C192" s="110">
        <v>4010000</v>
      </c>
      <c r="D192" s="269" t="s">
        <v>130</v>
      </c>
      <c r="E192" s="228"/>
      <c r="F192" s="11">
        <v>245</v>
      </c>
      <c r="G192" s="81" t="s">
        <v>487</v>
      </c>
      <c r="H192" s="129">
        <v>1</v>
      </c>
      <c r="I192" s="152">
        <v>98242</v>
      </c>
      <c r="J192" s="24" t="s">
        <v>446</v>
      </c>
      <c r="K192" s="188">
        <v>6487.1237000000001</v>
      </c>
      <c r="L192" s="246" t="str">
        <f t="shared" si="24"/>
        <v>1 квартал 2012</v>
      </c>
      <c r="M192" s="250"/>
      <c r="N192" s="260" t="s">
        <v>504</v>
      </c>
      <c r="O192" s="188"/>
      <c r="P192" s="83">
        <v>12</v>
      </c>
      <c r="Q192" s="83">
        <v>6487.1237000000001</v>
      </c>
      <c r="R192" s="83"/>
      <c r="S192" s="83"/>
      <c r="T192" s="83"/>
      <c r="U192" s="83"/>
      <c r="V192" s="83"/>
      <c r="W192" s="83"/>
      <c r="X192" s="167"/>
      <c r="Z192" s="237">
        <f t="shared" si="20"/>
        <v>0</v>
      </c>
    </row>
    <row r="193" spans="1:26" s="141" customFormat="1" ht="32.25" x14ac:dyDescent="0.25">
      <c r="A193" s="186">
        <v>18.13</v>
      </c>
      <c r="B193" s="165" t="s">
        <v>409</v>
      </c>
      <c r="C193" s="110">
        <v>4010000</v>
      </c>
      <c r="D193" s="269" t="s">
        <v>131</v>
      </c>
      <c r="E193" s="228"/>
      <c r="F193" s="11">
        <v>245</v>
      </c>
      <c r="G193" s="81" t="s">
        <v>487</v>
      </c>
      <c r="H193" s="129">
        <v>6</v>
      </c>
      <c r="I193" s="152">
        <v>98248</v>
      </c>
      <c r="J193" s="83" t="s">
        <v>444</v>
      </c>
      <c r="K193" s="188">
        <v>25094.556258896388</v>
      </c>
      <c r="L193" s="246" t="str">
        <f t="shared" si="24"/>
        <v>1 квартал 2012</v>
      </c>
      <c r="M193" s="250"/>
      <c r="N193" s="260" t="s">
        <v>504</v>
      </c>
      <c r="O193" s="188"/>
      <c r="P193" s="83">
        <v>12</v>
      </c>
      <c r="Q193" s="83">
        <v>25094.556258896388</v>
      </c>
      <c r="R193" s="83"/>
      <c r="S193" s="83"/>
      <c r="T193" s="83"/>
      <c r="U193" s="83"/>
      <c r="V193" s="83"/>
      <c r="W193" s="83"/>
      <c r="X193" s="167"/>
      <c r="Z193" s="237">
        <f t="shared" si="20"/>
        <v>0</v>
      </c>
    </row>
    <row r="194" spans="1:26" s="141" customFormat="1" ht="32.25" x14ac:dyDescent="0.25">
      <c r="A194" s="186">
        <v>18.14</v>
      </c>
      <c r="B194" s="165" t="s">
        <v>409</v>
      </c>
      <c r="C194" s="110">
        <v>4010000</v>
      </c>
      <c r="D194" s="269" t="s">
        <v>132</v>
      </c>
      <c r="E194" s="228"/>
      <c r="F194" s="11">
        <v>245</v>
      </c>
      <c r="G194" s="81" t="s">
        <v>487</v>
      </c>
      <c r="H194" s="129">
        <v>3</v>
      </c>
      <c r="I194" s="151">
        <v>98204</v>
      </c>
      <c r="J194" s="83" t="s">
        <v>431</v>
      </c>
      <c r="K194" s="188">
        <v>11450.4766</v>
      </c>
      <c r="L194" s="246" t="str">
        <f t="shared" si="24"/>
        <v>1 квартал 2012</v>
      </c>
      <c r="M194" s="250"/>
      <c r="N194" s="260" t="s">
        <v>504</v>
      </c>
      <c r="O194" s="188"/>
      <c r="P194" s="83">
        <v>12</v>
      </c>
      <c r="Q194" s="83">
        <v>11450.4766</v>
      </c>
      <c r="R194" s="83"/>
      <c r="S194" s="83"/>
      <c r="T194" s="83"/>
      <c r="U194" s="83"/>
      <c r="V194" s="83"/>
      <c r="W194" s="83"/>
      <c r="X194" s="167"/>
      <c r="Z194" s="237">
        <f t="shared" si="20"/>
        <v>0</v>
      </c>
    </row>
    <row r="195" spans="1:26" s="141" customFormat="1" ht="32.25" x14ac:dyDescent="0.25">
      <c r="A195" s="186">
        <v>18.149999999999999</v>
      </c>
      <c r="B195" s="165" t="s">
        <v>409</v>
      </c>
      <c r="C195" s="110">
        <v>4010000</v>
      </c>
      <c r="D195" s="269" t="s">
        <v>125</v>
      </c>
      <c r="E195" s="228"/>
      <c r="F195" s="11">
        <v>245</v>
      </c>
      <c r="G195" s="81" t="s">
        <v>487</v>
      </c>
      <c r="H195" s="129">
        <v>4</v>
      </c>
      <c r="I195" s="151">
        <v>98254551</v>
      </c>
      <c r="J195" s="24" t="s">
        <v>442</v>
      </c>
      <c r="K195" s="188">
        <v>20099.027999999998</v>
      </c>
      <c r="L195" s="246" t="str">
        <f t="shared" si="24"/>
        <v>1 квартал 2012</v>
      </c>
      <c r="M195" s="250"/>
      <c r="N195" s="260" t="s">
        <v>504</v>
      </c>
      <c r="O195" s="188"/>
      <c r="P195" s="83">
        <v>12</v>
      </c>
      <c r="Q195" s="83">
        <v>20099.027999999998</v>
      </c>
      <c r="R195" s="83"/>
      <c r="S195" s="83"/>
      <c r="T195" s="83"/>
      <c r="U195" s="83"/>
      <c r="V195" s="83"/>
      <c r="W195" s="83"/>
      <c r="X195" s="167"/>
      <c r="Z195" s="237">
        <f t="shared" si="20"/>
        <v>0</v>
      </c>
    </row>
    <row r="196" spans="1:26" s="141" customFormat="1" ht="32.25" x14ac:dyDescent="0.25">
      <c r="A196" s="186">
        <v>18.16</v>
      </c>
      <c r="B196" s="165" t="s">
        <v>409</v>
      </c>
      <c r="C196" s="110">
        <v>4010000</v>
      </c>
      <c r="D196" s="269" t="s">
        <v>124</v>
      </c>
      <c r="E196" s="228"/>
      <c r="F196" s="11">
        <v>245</v>
      </c>
      <c r="G196" s="81" t="s">
        <v>487</v>
      </c>
      <c r="H196" s="129">
        <v>3</v>
      </c>
      <c r="I196" s="151">
        <v>98231509</v>
      </c>
      <c r="J196" s="24" t="s">
        <v>443</v>
      </c>
      <c r="K196" s="188">
        <v>12269.264999999999</v>
      </c>
      <c r="L196" s="246" t="str">
        <f t="shared" si="24"/>
        <v>1 квартал 2012</v>
      </c>
      <c r="M196" s="250"/>
      <c r="N196" s="260" t="s">
        <v>504</v>
      </c>
      <c r="O196" s="188"/>
      <c r="P196" s="83">
        <v>12</v>
      </c>
      <c r="Q196" s="83">
        <v>12269.264999999999</v>
      </c>
      <c r="R196" s="83"/>
      <c r="S196" s="83"/>
      <c r="T196" s="83"/>
      <c r="U196" s="83"/>
      <c r="V196" s="83"/>
      <c r="W196" s="83"/>
      <c r="X196" s="167"/>
      <c r="Z196" s="237">
        <f t="shared" si="20"/>
        <v>0</v>
      </c>
    </row>
    <row r="197" spans="1:26" s="141" customFormat="1" ht="45" x14ac:dyDescent="0.25">
      <c r="A197" s="186">
        <v>18.170000000000002</v>
      </c>
      <c r="B197" s="165" t="s">
        <v>409</v>
      </c>
      <c r="C197" s="110">
        <v>4010000</v>
      </c>
      <c r="D197" s="269" t="s">
        <v>133</v>
      </c>
      <c r="E197" s="228"/>
      <c r="F197" s="11">
        <v>245</v>
      </c>
      <c r="G197" s="81" t="s">
        <v>487</v>
      </c>
      <c r="H197" s="129">
        <v>4</v>
      </c>
      <c r="I197" s="151">
        <v>98258</v>
      </c>
      <c r="J197" s="83" t="s">
        <v>435</v>
      </c>
      <c r="K197" s="188">
        <v>14605.609400000001</v>
      </c>
      <c r="L197" s="246" t="str">
        <f t="shared" si="24"/>
        <v>1 квартал 2012</v>
      </c>
      <c r="M197" s="250"/>
      <c r="N197" s="260" t="s">
        <v>504</v>
      </c>
      <c r="O197" s="188"/>
      <c r="P197" s="83">
        <v>12</v>
      </c>
      <c r="Q197" s="83">
        <v>14605.609400000001</v>
      </c>
      <c r="R197" s="83"/>
      <c r="S197" s="83"/>
      <c r="T197" s="83"/>
      <c r="U197" s="83"/>
      <c r="V197" s="83"/>
      <c r="W197" s="83"/>
      <c r="X197" s="167"/>
      <c r="Z197" s="237">
        <f t="shared" si="20"/>
        <v>0</v>
      </c>
    </row>
    <row r="198" spans="1:26" s="141" customFormat="1" ht="32.25" x14ac:dyDescent="0.25">
      <c r="A198" s="186">
        <v>18.18</v>
      </c>
      <c r="B198" s="165" t="s">
        <v>409</v>
      </c>
      <c r="C198" s="110">
        <v>4010000</v>
      </c>
      <c r="D198" s="269" t="s">
        <v>490</v>
      </c>
      <c r="E198" s="228"/>
      <c r="F198" s="11">
        <v>245</v>
      </c>
      <c r="G198" s="81" t="s">
        <v>487</v>
      </c>
      <c r="H198" s="129">
        <v>250</v>
      </c>
      <c r="I198" s="151">
        <v>98401</v>
      </c>
      <c r="J198" s="24" t="s">
        <v>429</v>
      </c>
      <c r="K198" s="188">
        <v>1146006.6355674234</v>
      </c>
      <c r="L198" s="246" t="str">
        <f t="shared" si="24"/>
        <v>1 квартал 2012</v>
      </c>
      <c r="M198" s="250"/>
      <c r="N198" s="260" t="s">
        <v>504</v>
      </c>
      <c r="O198" s="188"/>
      <c r="P198" s="83">
        <v>12</v>
      </c>
      <c r="Q198" s="83">
        <v>1146006.6355674234</v>
      </c>
      <c r="R198" s="83"/>
      <c r="S198" s="83"/>
      <c r="T198" s="83"/>
      <c r="U198" s="83"/>
      <c r="V198" s="83"/>
      <c r="W198" s="83"/>
      <c r="X198" s="167"/>
      <c r="Z198" s="237">
        <f t="shared" si="20"/>
        <v>0</v>
      </c>
    </row>
    <row r="199" spans="1:26" s="230" customFormat="1" ht="24" x14ac:dyDescent="0.2">
      <c r="A199" s="232">
        <v>19</v>
      </c>
      <c r="B199" s="156"/>
      <c r="C199" s="157"/>
      <c r="D199" s="264" t="s">
        <v>136</v>
      </c>
      <c r="E199" s="159"/>
      <c r="F199" s="159"/>
      <c r="G199" s="160"/>
      <c r="H199" s="160"/>
      <c r="I199" s="161"/>
      <c r="J199" s="162"/>
      <c r="K199" s="162">
        <f>SUM(K200:K209)</f>
        <v>760081</v>
      </c>
      <c r="L199" s="244"/>
      <c r="M199" s="244"/>
      <c r="N199" s="254"/>
      <c r="O199" s="162"/>
      <c r="P199" s="162">
        <f t="shared" ref="P199:W199" si="25">SUM(P200:P209)</f>
        <v>10</v>
      </c>
      <c r="Q199" s="162">
        <f t="shared" si="25"/>
        <v>760081</v>
      </c>
      <c r="R199" s="162">
        <f t="shared" si="25"/>
        <v>0</v>
      </c>
      <c r="S199" s="162">
        <f t="shared" si="25"/>
        <v>0</v>
      </c>
      <c r="T199" s="162">
        <f t="shared" si="25"/>
        <v>0</v>
      </c>
      <c r="U199" s="162">
        <f t="shared" si="25"/>
        <v>0</v>
      </c>
      <c r="V199" s="162">
        <f t="shared" si="25"/>
        <v>0</v>
      </c>
      <c r="W199" s="162">
        <f t="shared" si="25"/>
        <v>0</v>
      </c>
      <c r="X199" s="163"/>
      <c r="Y199" s="231"/>
      <c r="Z199" s="237">
        <f t="shared" si="20"/>
        <v>0</v>
      </c>
    </row>
    <row r="200" spans="1:26" s="141" customFormat="1" x14ac:dyDescent="0.25">
      <c r="A200" s="186">
        <v>19.100000000000001</v>
      </c>
      <c r="B200" s="165" t="s">
        <v>428</v>
      </c>
      <c r="C200" s="110">
        <v>2929764</v>
      </c>
      <c r="D200" s="265" t="s">
        <v>137</v>
      </c>
      <c r="E200" s="114"/>
      <c r="F200" s="110">
        <v>796</v>
      </c>
      <c r="G200" s="81" t="s">
        <v>17</v>
      </c>
      <c r="H200" s="81">
        <v>1</v>
      </c>
      <c r="I200" s="151">
        <v>98401</v>
      </c>
      <c r="J200" s="83" t="s">
        <v>429</v>
      </c>
      <c r="K200" s="83">
        <v>7950</v>
      </c>
      <c r="L200" s="246" t="str">
        <f t="shared" ref="L200:L209" si="26">IF(Q200&gt;0,"1 квартал 2012",IF(S200&gt;0,"2 квартал 2012",IF(U200&gt;0,"3 квартал 2012","4 квартал 2012")))</f>
        <v>1 квартал 2012</v>
      </c>
      <c r="M200" s="249"/>
      <c r="N200" s="255"/>
      <c r="O200" s="83"/>
      <c r="P200" s="83">
        <v>1</v>
      </c>
      <c r="Q200" s="83">
        <v>7950</v>
      </c>
      <c r="R200" s="83"/>
      <c r="S200" s="83"/>
      <c r="T200" s="83"/>
      <c r="U200" s="83"/>
      <c r="V200" s="83"/>
      <c r="W200" s="83"/>
      <c r="X200" s="167"/>
      <c r="Z200" s="237">
        <f t="shared" si="20"/>
        <v>0</v>
      </c>
    </row>
    <row r="201" spans="1:26" s="141" customFormat="1" ht="24.75" x14ac:dyDescent="0.25">
      <c r="A201" s="186">
        <v>19.2</v>
      </c>
      <c r="B201" s="165" t="s">
        <v>428</v>
      </c>
      <c r="C201" s="110">
        <v>2929764</v>
      </c>
      <c r="D201" s="265" t="s">
        <v>138</v>
      </c>
      <c r="E201" s="114"/>
      <c r="F201" s="110">
        <v>796</v>
      </c>
      <c r="G201" s="81" t="s">
        <v>17</v>
      </c>
      <c r="H201" s="81">
        <v>1</v>
      </c>
      <c r="I201" s="151">
        <v>98401</v>
      </c>
      <c r="J201" s="83" t="s">
        <v>429</v>
      </c>
      <c r="K201" s="83">
        <v>14301</v>
      </c>
      <c r="L201" s="246" t="str">
        <f t="shared" si="26"/>
        <v>1 квартал 2012</v>
      </c>
      <c r="M201" s="249"/>
      <c r="N201" s="255"/>
      <c r="O201" s="83"/>
      <c r="P201" s="83">
        <v>1</v>
      </c>
      <c r="Q201" s="83">
        <v>14301</v>
      </c>
      <c r="R201" s="83"/>
      <c r="S201" s="83"/>
      <c r="T201" s="83"/>
      <c r="U201" s="83"/>
      <c r="V201" s="83"/>
      <c r="W201" s="83"/>
      <c r="X201" s="167"/>
      <c r="Z201" s="237">
        <f t="shared" si="20"/>
        <v>0</v>
      </c>
    </row>
    <row r="202" spans="1:26" s="141" customFormat="1" ht="24.75" x14ac:dyDescent="0.25">
      <c r="A202" s="186">
        <v>19.3</v>
      </c>
      <c r="B202" s="165" t="s">
        <v>428</v>
      </c>
      <c r="C202" s="110">
        <v>2929764</v>
      </c>
      <c r="D202" s="265" t="s">
        <v>139</v>
      </c>
      <c r="E202" s="114"/>
      <c r="F202" s="110">
        <v>796</v>
      </c>
      <c r="G202" s="81" t="s">
        <v>17</v>
      </c>
      <c r="H202" s="81">
        <v>1</v>
      </c>
      <c r="I202" s="151">
        <v>98401</v>
      </c>
      <c r="J202" s="83" t="s">
        <v>429</v>
      </c>
      <c r="K202" s="83">
        <v>41300</v>
      </c>
      <c r="L202" s="246" t="str">
        <f t="shared" si="26"/>
        <v>1 квартал 2012</v>
      </c>
      <c r="M202" s="249"/>
      <c r="N202" s="255"/>
      <c r="O202" s="83"/>
      <c r="P202" s="83">
        <v>1</v>
      </c>
      <c r="Q202" s="83">
        <v>41300</v>
      </c>
      <c r="R202" s="83"/>
      <c r="S202" s="83"/>
      <c r="T202" s="83"/>
      <c r="U202" s="83"/>
      <c r="V202" s="83"/>
      <c r="W202" s="83"/>
      <c r="X202" s="167"/>
      <c r="Z202" s="237">
        <f t="shared" si="20"/>
        <v>0</v>
      </c>
    </row>
    <row r="203" spans="1:26" s="141" customFormat="1" x14ac:dyDescent="0.25">
      <c r="A203" s="186">
        <v>19.399999999999999</v>
      </c>
      <c r="B203" s="165" t="s">
        <v>428</v>
      </c>
      <c r="C203" s="110">
        <v>2929764</v>
      </c>
      <c r="D203" s="265" t="s">
        <v>140</v>
      </c>
      <c r="E203" s="114"/>
      <c r="F203" s="110">
        <v>796</v>
      </c>
      <c r="G203" s="81" t="s">
        <v>17</v>
      </c>
      <c r="H203" s="81">
        <v>1</v>
      </c>
      <c r="I203" s="151">
        <v>98401</v>
      </c>
      <c r="J203" s="83" t="s">
        <v>429</v>
      </c>
      <c r="K203" s="83">
        <v>54280</v>
      </c>
      <c r="L203" s="246" t="str">
        <f t="shared" si="26"/>
        <v>1 квартал 2012</v>
      </c>
      <c r="M203" s="249"/>
      <c r="N203" s="255"/>
      <c r="O203" s="83"/>
      <c r="P203" s="83">
        <v>1</v>
      </c>
      <c r="Q203" s="83">
        <v>54280</v>
      </c>
      <c r="R203" s="83"/>
      <c r="S203" s="83"/>
      <c r="T203" s="83"/>
      <c r="U203" s="83"/>
      <c r="V203" s="83"/>
      <c r="W203" s="83"/>
      <c r="X203" s="167"/>
      <c r="Z203" s="237">
        <f t="shared" si="20"/>
        <v>0</v>
      </c>
    </row>
    <row r="204" spans="1:26" s="141" customFormat="1" x14ac:dyDescent="0.25">
      <c r="A204" s="186">
        <v>19.5</v>
      </c>
      <c r="B204" s="165" t="s">
        <v>428</v>
      </c>
      <c r="C204" s="110">
        <v>2929764</v>
      </c>
      <c r="D204" s="265" t="s">
        <v>141</v>
      </c>
      <c r="E204" s="114"/>
      <c r="F204" s="110">
        <v>796</v>
      </c>
      <c r="G204" s="81" t="s">
        <v>17</v>
      </c>
      <c r="H204" s="81">
        <v>1</v>
      </c>
      <c r="I204" s="151">
        <v>98401</v>
      </c>
      <c r="J204" s="83" t="s">
        <v>429</v>
      </c>
      <c r="K204" s="83">
        <v>138060</v>
      </c>
      <c r="L204" s="246" t="str">
        <f t="shared" si="26"/>
        <v>1 квартал 2012</v>
      </c>
      <c r="M204" s="249"/>
      <c r="N204" s="255"/>
      <c r="O204" s="83"/>
      <c r="P204" s="83">
        <v>1</v>
      </c>
      <c r="Q204" s="83">
        <v>138060</v>
      </c>
      <c r="R204" s="83"/>
      <c r="S204" s="83"/>
      <c r="T204" s="83"/>
      <c r="U204" s="83"/>
      <c r="V204" s="83"/>
      <c r="W204" s="83"/>
      <c r="X204" s="167"/>
      <c r="Z204" s="237">
        <f t="shared" si="20"/>
        <v>0</v>
      </c>
    </row>
    <row r="205" spans="1:26" s="141" customFormat="1" ht="24.75" x14ac:dyDescent="0.25">
      <c r="A205" s="186">
        <v>19.600000000000001</v>
      </c>
      <c r="B205" s="165" t="s">
        <v>428</v>
      </c>
      <c r="C205" s="110">
        <v>2929764</v>
      </c>
      <c r="D205" s="265" t="s">
        <v>142</v>
      </c>
      <c r="E205" s="114"/>
      <c r="F205" s="110">
        <v>796</v>
      </c>
      <c r="G205" s="81" t="s">
        <v>17</v>
      </c>
      <c r="H205" s="81">
        <v>1</v>
      </c>
      <c r="I205" s="151">
        <v>98401</v>
      </c>
      <c r="J205" s="83" t="s">
        <v>429</v>
      </c>
      <c r="K205" s="83">
        <v>215770</v>
      </c>
      <c r="L205" s="246" t="str">
        <f t="shared" si="26"/>
        <v>1 квартал 2012</v>
      </c>
      <c r="M205" s="249"/>
      <c r="N205" s="255"/>
      <c r="O205" s="83"/>
      <c r="P205" s="83">
        <v>1</v>
      </c>
      <c r="Q205" s="83">
        <v>215770</v>
      </c>
      <c r="R205" s="83"/>
      <c r="S205" s="83"/>
      <c r="T205" s="83"/>
      <c r="U205" s="83"/>
      <c r="V205" s="83"/>
      <c r="W205" s="83"/>
      <c r="X205" s="167"/>
      <c r="Z205" s="237">
        <f t="shared" si="20"/>
        <v>0</v>
      </c>
    </row>
    <row r="206" spans="1:26" s="141" customFormat="1" ht="36.75" x14ac:dyDescent="0.25">
      <c r="A206" s="186">
        <v>19.7</v>
      </c>
      <c r="B206" s="165" t="s">
        <v>428</v>
      </c>
      <c r="C206" s="110">
        <v>2929764</v>
      </c>
      <c r="D206" s="265" t="s">
        <v>143</v>
      </c>
      <c r="E206" s="114"/>
      <c r="F206" s="110">
        <v>796</v>
      </c>
      <c r="G206" s="81" t="s">
        <v>17</v>
      </c>
      <c r="H206" s="81">
        <v>1</v>
      </c>
      <c r="I206" s="151">
        <v>98401</v>
      </c>
      <c r="J206" s="83" t="s">
        <v>429</v>
      </c>
      <c r="K206" s="83">
        <v>61170</v>
      </c>
      <c r="L206" s="246" t="str">
        <f t="shared" si="26"/>
        <v>1 квартал 2012</v>
      </c>
      <c r="M206" s="249"/>
      <c r="N206" s="255"/>
      <c r="O206" s="83"/>
      <c r="P206" s="83">
        <v>1</v>
      </c>
      <c r="Q206" s="83">
        <v>61170</v>
      </c>
      <c r="R206" s="83"/>
      <c r="S206" s="83"/>
      <c r="T206" s="83"/>
      <c r="U206" s="83"/>
      <c r="V206" s="83"/>
      <c r="W206" s="83"/>
      <c r="X206" s="167"/>
      <c r="Z206" s="237">
        <f t="shared" si="20"/>
        <v>0</v>
      </c>
    </row>
    <row r="207" spans="1:26" s="141" customFormat="1" x14ac:dyDescent="0.25">
      <c r="A207" s="186">
        <v>19.8</v>
      </c>
      <c r="B207" s="165" t="s">
        <v>428</v>
      </c>
      <c r="C207" s="110">
        <v>2929764</v>
      </c>
      <c r="D207" s="265" t="s">
        <v>144</v>
      </c>
      <c r="E207" s="114"/>
      <c r="F207" s="110">
        <v>796</v>
      </c>
      <c r="G207" s="81" t="s">
        <v>17</v>
      </c>
      <c r="H207" s="81">
        <v>1</v>
      </c>
      <c r="I207" s="151">
        <v>98401</v>
      </c>
      <c r="J207" s="83" t="s">
        <v>429</v>
      </c>
      <c r="K207" s="83">
        <v>11750</v>
      </c>
      <c r="L207" s="246" t="str">
        <f t="shared" si="26"/>
        <v>1 квартал 2012</v>
      </c>
      <c r="M207" s="249"/>
      <c r="N207" s="255"/>
      <c r="O207" s="83"/>
      <c r="P207" s="83">
        <v>1</v>
      </c>
      <c r="Q207" s="83">
        <v>11750</v>
      </c>
      <c r="R207" s="83"/>
      <c r="S207" s="83"/>
      <c r="T207" s="83"/>
      <c r="U207" s="83"/>
      <c r="V207" s="83"/>
      <c r="W207" s="83"/>
      <c r="X207" s="167"/>
      <c r="Z207" s="237">
        <f t="shared" si="20"/>
        <v>0</v>
      </c>
    </row>
    <row r="208" spans="1:26" s="141" customFormat="1" ht="24.75" x14ac:dyDescent="0.25">
      <c r="A208" s="186">
        <v>19.899999999999999</v>
      </c>
      <c r="B208" s="165" t="s">
        <v>428</v>
      </c>
      <c r="C208" s="110">
        <v>2929764</v>
      </c>
      <c r="D208" s="265" t="s">
        <v>145</v>
      </c>
      <c r="E208" s="114"/>
      <c r="F208" s="110">
        <v>796</v>
      </c>
      <c r="G208" s="81" t="s">
        <v>17</v>
      </c>
      <c r="H208" s="81">
        <v>1</v>
      </c>
      <c r="I208" s="151">
        <v>98401</v>
      </c>
      <c r="J208" s="83" t="s">
        <v>429</v>
      </c>
      <c r="K208" s="83">
        <v>14500</v>
      </c>
      <c r="L208" s="246" t="str">
        <f t="shared" si="26"/>
        <v>1 квартал 2012</v>
      </c>
      <c r="M208" s="249"/>
      <c r="N208" s="255"/>
      <c r="O208" s="83"/>
      <c r="P208" s="83">
        <v>1</v>
      </c>
      <c r="Q208" s="83">
        <v>14500</v>
      </c>
      <c r="R208" s="83"/>
      <c r="S208" s="83"/>
      <c r="T208" s="83"/>
      <c r="U208" s="83"/>
      <c r="V208" s="83"/>
      <c r="W208" s="83"/>
      <c r="X208" s="167"/>
      <c r="Z208" s="237">
        <f t="shared" si="20"/>
        <v>0</v>
      </c>
    </row>
    <row r="209" spans="1:26" s="141" customFormat="1" x14ac:dyDescent="0.25">
      <c r="A209" s="186">
        <v>19.100000000000001</v>
      </c>
      <c r="B209" s="165" t="s">
        <v>428</v>
      </c>
      <c r="C209" s="110">
        <v>2929764</v>
      </c>
      <c r="D209" s="265" t="s">
        <v>146</v>
      </c>
      <c r="E209" s="114"/>
      <c r="F209" s="110">
        <v>796</v>
      </c>
      <c r="G209" s="81" t="s">
        <v>17</v>
      </c>
      <c r="H209" s="81">
        <v>1</v>
      </c>
      <c r="I209" s="151">
        <v>98401</v>
      </c>
      <c r="J209" s="83" t="s">
        <v>429</v>
      </c>
      <c r="K209" s="83">
        <v>201000</v>
      </c>
      <c r="L209" s="246" t="str">
        <f t="shared" si="26"/>
        <v>1 квартал 2012</v>
      </c>
      <c r="M209" s="249"/>
      <c r="N209" s="255"/>
      <c r="O209" s="83"/>
      <c r="P209" s="83">
        <v>1</v>
      </c>
      <c r="Q209" s="83">
        <v>201000</v>
      </c>
      <c r="R209" s="83"/>
      <c r="S209" s="83"/>
      <c r="T209" s="83"/>
      <c r="U209" s="83"/>
      <c r="V209" s="83"/>
      <c r="W209" s="83"/>
      <c r="X209" s="167"/>
      <c r="Z209" s="237">
        <f t="shared" si="20"/>
        <v>0</v>
      </c>
    </row>
    <row r="210" spans="1:26" s="230" customFormat="1" ht="14.25" x14ac:dyDescent="0.2">
      <c r="A210" s="232">
        <v>20</v>
      </c>
      <c r="B210" s="156"/>
      <c r="C210" s="157"/>
      <c r="D210" s="264" t="s">
        <v>147</v>
      </c>
      <c r="E210" s="159"/>
      <c r="F210" s="159"/>
      <c r="G210" s="160"/>
      <c r="H210" s="160"/>
      <c r="I210" s="161"/>
      <c r="J210" s="162"/>
      <c r="K210" s="162">
        <f>SUM(K211:K218)</f>
        <v>11077650</v>
      </c>
      <c r="L210" s="244"/>
      <c r="M210" s="244"/>
      <c r="N210" s="254"/>
      <c r="O210" s="162"/>
      <c r="P210" s="162">
        <f t="shared" ref="P210:W210" si="27">SUM(P211:P218)</f>
        <v>0</v>
      </c>
      <c r="Q210" s="162">
        <f t="shared" si="27"/>
        <v>0</v>
      </c>
      <c r="R210" s="162">
        <f t="shared" si="27"/>
        <v>19</v>
      </c>
      <c r="S210" s="162">
        <f t="shared" si="27"/>
        <v>1987650</v>
      </c>
      <c r="T210" s="162">
        <f t="shared" si="27"/>
        <v>3</v>
      </c>
      <c r="U210" s="162">
        <f t="shared" si="27"/>
        <v>280000</v>
      </c>
      <c r="V210" s="162">
        <f t="shared" si="27"/>
        <v>8</v>
      </c>
      <c r="W210" s="162">
        <f t="shared" si="27"/>
        <v>8810000</v>
      </c>
      <c r="X210" s="163"/>
      <c r="Y210" s="231"/>
      <c r="Z210" s="237">
        <f t="shared" si="20"/>
        <v>0</v>
      </c>
    </row>
    <row r="211" spans="1:26" s="141" customFormat="1" ht="24.75" x14ac:dyDescent="0.25">
      <c r="A211" s="186">
        <v>20.100000000000001</v>
      </c>
      <c r="B211" s="165" t="s">
        <v>428</v>
      </c>
      <c r="C211" s="110">
        <v>3320000</v>
      </c>
      <c r="D211" s="270" t="s">
        <v>148</v>
      </c>
      <c r="E211" s="114"/>
      <c r="F211" s="110">
        <v>796</v>
      </c>
      <c r="G211" s="81" t="s">
        <v>17</v>
      </c>
      <c r="H211" s="81">
        <v>15</v>
      </c>
      <c r="I211" s="151">
        <v>98401</v>
      </c>
      <c r="J211" s="83" t="s">
        <v>429</v>
      </c>
      <c r="K211" s="83">
        <v>300000</v>
      </c>
      <c r="L211" s="246" t="str">
        <f t="shared" ref="L211:L218" si="28">IF(Q211&gt;0,"1 квартал 2012",IF(S211&gt;0,"2 квартал 2012",IF(U211&gt;0,"3 квартал 2012","4 квартал 2012")))</f>
        <v>2 квартал 2012</v>
      </c>
      <c r="M211" s="249"/>
      <c r="N211" s="255"/>
      <c r="O211" s="83"/>
      <c r="P211" s="83"/>
      <c r="Q211" s="83"/>
      <c r="R211" s="83">
        <v>15</v>
      </c>
      <c r="S211" s="83">
        <v>300000</v>
      </c>
      <c r="T211" s="83"/>
      <c r="U211" s="83"/>
      <c r="V211" s="83"/>
      <c r="W211" s="83"/>
      <c r="X211" s="167"/>
      <c r="Z211" s="237">
        <f t="shared" si="20"/>
        <v>0</v>
      </c>
    </row>
    <row r="212" spans="1:26" s="141" customFormat="1" ht="24.75" x14ac:dyDescent="0.25">
      <c r="A212" s="186">
        <v>20.2</v>
      </c>
      <c r="B212" s="165"/>
      <c r="C212" s="110"/>
      <c r="D212" s="270" t="s">
        <v>149</v>
      </c>
      <c r="E212" s="114"/>
      <c r="F212" s="110">
        <v>796</v>
      </c>
      <c r="G212" s="81" t="s">
        <v>17</v>
      </c>
      <c r="H212" s="242">
        <v>2</v>
      </c>
      <c r="I212" s="151">
        <v>98401</v>
      </c>
      <c r="J212" s="83" t="s">
        <v>429</v>
      </c>
      <c r="K212" s="83">
        <v>815650</v>
      </c>
      <c r="L212" s="246" t="str">
        <f t="shared" si="28"/>
        <v>2 квартал 2012</v>
      </c>
      <c r="M212" s="249"/>
      <c r="N212" s="255"/>
      <c r="O212" s="83"/>
      <c r="P212" s="83"/>
      <c r="Q212" s="83"/>
      <c r="R212" s="243">
        <v>2</v>
      </c>
      <c r="S212" s="83">
        <v>815650</v>
      </c>
      <c r="T212" s="83"/>
      <c r="U212" s="83"/>
      <c r="V212" s="83"/>
      <c r="W212" s="83"/>
      <c r="X212" s="241" t="s">
        <v>502</v>
      </c>
      <c r="Z212" s="237">
        <f t="shared" si="20"/>
        <v>0</v>
      </c>
    </row>
    <row r="213" spans="1:26" s="141" customFormat="1" ht="48.75" x14ac:dyDescent="0.25">
      <c r="A213" s="186">
        <v>20.3</v>
      </c>
      <c r="B213" s="165" t="s">
        <v>428</v>
      </c>
      <c r="C213" s="110">
        <v>3320000</v>
      </c>
      <c r="D213" s="270" t="s">
        <v>150</v>
      </c>
      <c r="E213" s="114"/>
      <c r="F213" s="110">
        <v>796</v>
      </c>
      <c r="G213" s="81" t="s">
        <v>17</v>
      </c>
      <c r="H213" s="81">
        <v>3</v>
      </c>
      <c r="I213" s="151">
        <v>98401</v>
      </c>
      <c r="J213" s="83" t="s">
        <v>429</v>
      </c>
      <c r="K213" s="83">
        <v>1932000</v>
      </c>
      <c r="L213" s="246" t="str">
        <f t="shared" si="28"/>
        <v>2 квартал 2012</v>
      </c>
      <c r="M213" s="249"/>
      <c r="N213" s="255"/>
      <c r="O213" s="83"/>
      <c r="P213" s="83"/>
      <c r="Q213" s="83"/>
      <c r="R213" s="83">
        <v>1</v>
      </c>
      <c r="S213" s="83">
        <v>322000</v>
      </c>
      <c r="T213" s="83"/>
      <c r="U213" s="83"/>
      <c r="V213" s="83">
        <v>5</v>
      </c>
      <c r="W213" s="83">
        <v>1610000</v>
      </c>
      <c r="X213" s="241" t="s">
        <v>501</v>
      </c>
      <c r="Z213" s="237">
        <f t="shared" si="20"/>
        <v>0</v>
      </c>
    </row>
    <row r="214" spans="1:26" s="141" customFormat="1" ht="23.25" x14ac:dyDescent="0.25">
      <c r="A214" s="186">
        <v>20.399999999999999</v>
      </c>
      <c r="B214" s="165" t="s">
        <v>421</v>
      </c>
      <c r="C214" s="110">
        <v>4520080</v>
      </c>
      <c r="D214" s="270" t="s">
        <v>151</v>
      </c>
      <c r="E214" s="114"/>
      <c r="F214" s="110">
        <v>796</v>
      </c>
      <c r="G214" s="81" t="s">
        <v>17</v>
      </c>
      <c r="H214" s="81">
        <v>3</v>
      </c>
      <c r="I214" s="151">
        <v>98401</v>
      </c>
      <c r="J214" s="83" t="s">
        <v>429</v>
      </c>
      <c r="K214" s="83">
        <v>280000</v>
      </c>
      <c r="L214" s="246" t="str">
        <f t="shared" si="28"/>
        <v>3 квартал 2012</v>
      </c>
      <c r="M214" s="249"/>
      <c r="N214" s="255"/>
      <c r="O214" s="83"/>
      <c r="P214" s="83"/>
      <c r="Q214" s="83"/>
      <c r="R214" s="83"/>
      <c r="S214" s="83"/>
      <c r="T214" s="83">
        <v>3</v>
      </c>
      <c r="U214" s="83">
        <v>280000</v>
      </c>
      <c r="V214" s="83"/>
      <c r="W214" s="83"/>
      <c r="X214" s="241" t="s">
        <v>503</v>
      </c>
      <c r="Z214" s="237">
        <f t="shared" si="20"/>
        <v>0</v>
      </c>
    </row>
    <row r="215" spans="1:26" s="141" customFormat="1" ht="23.25" x14ac:dyDescent="0.25">
      <c r="A215" s="186">
        <v>20.5</v>
      </c>
      <c r="B215" s="165" t="s">
        <v>415</v>
      </c>
      <c r="C215" s="110">
        <v>3410000</v>
      </c>
      <c r="D215" s="270" t="s">
        <v>152</v>
      </c>
      <c r="E215" s="114"/>
      <c r="F215" s="110">
        <v>796</v>
      </c>
      <c r="G215" s="81" t="s">
        <v>17</v>
      </c>
      <c r="H215" s="81">
        <v>1</v>
      </c>
      <c r="I215" s="151">
        <v>98401</v>
      </c>
      <c r="J215" s="83" t="s">
        <v>429</v>
      </c>
      <c r="K215" s="83">
        <v>550000</v>
      </c>
      <c r="L215" s="246" t="str">
        <f t="shared" si="28"/>
        <v>2 квартал 2012</v>
      </c>
      <c r="M215" s="249"/>
      <c r="N215" s="255"/>
      <c r="O215" s="83"/>
      <c r="P215" s="83"/>
      <c r="Q215" s="83"/>
      <c r="R215" s="83">
        <v>1</v>
      </c>
      <c r="S215" s="83">
        <v>550000</v>
      </c>
      <c r="T215" s="83"/>
      <c r="U215" s="83"/>
      <c r="V215" s="83"/>
      <c r="W215" s="83"/>
      <c r="X215" s="241" t="s">
        <v>500</v>
      </c>
      <c r="Z215" s="237">
        <f t="shared" si="20"/>
        <v>0</v>
      </c>
    </row>
    <row r="216" spans="1:26" s="141" customFormat="1" x14ac:dyDescent="0.25">
      <c r="A216" s="186">
        <v>20.6</v>
      </c>
      <c r="B216" s="165" t="s">
        <v>415</v>
      </c>
      <c r="C216" s="110">
        <v>3410000</v>
      </c>
      <c r="D216" s="270" t="s">
        <v>153</v>
      </c>
      <c r="E216" s="114"/>
      <c r="F216" s="110">
        <v>796</v>
      </c>
      <c r="G216" s="81" t="s">
        <v>17</v>
      </c>
      <c r="H216" s="81">
        <v>1</v>
      </c>
      <c r="I216" s="151">
        <v>98401</v>
      </c>
      <c r="J216" s="83" t="s">
        <v>429</v>
      </c>
      <c r="K216" s="83">
        <v>3100000</v>
      </c>
      <c r="L216" s="246" t="str">
        <f t="shared" si="28"/>
        <v>4 квартал 2012</v>
      </c>
      <c r="M216" s="245">
        <v>41244</v>
      </c>
      <c r="N216" s="255"/>
      <c r="O216" s="83"/>
      <c r="P216" s="83"/>
      <c r="Q216" s="83"/>
      <c r="R216" s="83"/>
      <c r="S216" s="83"/>
      <c r="T216" s="83"/>
      <c r="U216" s="83"/>
      <c r="V216" s="83">
        <v>1</v>
      </c>
      <c r="W216" s="83">
        <v>3100000</v>
      </c>
      <c r="X216" s="167"/>
      <c r="Z216" s="237">
        <f t="shared" si="20"/>
        <v>0</v>
      </c>
    </row>
    <row r="217" spans="1:26" s="141" customFormat="1" ht="24.75" x14ac:dyDescent="0.25">
      <c r="A217" s="186">
        <v>20.7</v>
      </c>
      <c r="B217" s="165" t="s">
        <v>415</v>
      </c>
      <c r="C217" s="110">
        <v>3410000</v>
      </c>
      <c r="D217" s="270" t="s">
        <v>154</v>
      </c>
      <c r="E217" s="114"/>
      <c r="F217" s="110">
        <v>796</v>
      </c>
      <c r="G217" s="81" t="s">
        <v>17</v>
      </c>
      <c r="H217" s="81">
        <v>1</v>
      </c>
      <c r="I217" s="151">
        <v>98401</v>
      </c>
      <c r="J217" s="83" t="s">
        <v>429</v>
      </c>
      <c r="K217" s="83">
        <v>2100000</v>
      </c>
      <c r="L217" s="246" t="str">
        <f t="shared" si="28"/>
        <v>4 квартал 2012</v>
      </c>
      <c r="M217" s="245">
        <v>41244</v>
      </c>
      <c r="N217" s="255"/>
      <c r="O217" s="83"/>
      <c r="P217" s="83"/>
      <c r="Q217" s="83"/>
      <c r="R217" s="83"/>
      <c r="S217" s="83"/>
      <c r="T217" s="83"/>
      <c r="U217" s="83"/>
      <c r="V217" s="83">
        <v>1</v>
      </c>
      <c r="W217" s="83">
        <v>2100000</v>
      </c>
      <c r="X217" s="167"/>
      <c r="Z217" s="237">
        <f t="shared" ref="Z217:Z280" si="29">K217-Q217-S217-U217-W217</f>
        <v>0</v>
      </c>
    </row>
    <row r="218" spans="1:26" s="141" customFormat="1" x14ac:dyDescent="0.25">
      <c r="A218" s="186">
        <v>20.8</v>
      </c>
      <c r="B218" s="165"/>
      <c r="C218" s="110"/>
      <c r="D218" s="270" t="s">
        <v>363</v>
      </c>
      <c r="E218" s="114"/>
      <c r="F218" s="110">
        <v>796</v>
      </c>
      <c r="G218" s="81" t="s">
        <v>17</v>
      </c>
      <c r="H218" s="81">
        <v>1</v>
      </c>
      <c r="I218" s="151">
        <v>98401</v>
      </c>
      <c r="J218" s="83" t="s">
        <v>429</v>
      </c>
      <c r="K218" s="83">
        <v>2000000</v>
      </c>
      <c r="L218" s="246" t="str">
        <f t="shared" si="28"/>
        <v>4 квартал 2012</v>
      </c>
      <c r="M218" s="245">
        <v>41244</v>
      </c>
      <c r="N218" s="255"/>
      <c r="O218" s="83"/>
      <c r="P218" s="83"/>
      <c r="Q218" s="83"/>
      <c r="R218" s="83"/>
      <c r="S218" s="83"/>
      <c r="T218" s="83"/>
      <c r="U218" s="83"/>
      <c r="V218" s="83">
        <v>1</v>
      </c>
      <c r="W218" s="83">
        <v>2000000</v>
      </c>
      <c r="X218" s="167"/>
      <c r="Z218" s="237">
        <f t="shared" si="29"/>
        <v>0</v>
      </c>
    </row>
    <row r="219" spans="1:26" s="230" customFormat="1" ht="14.25" x14ac:dyDescent="0.2">
      <c r="A219" s="232">
        <v>21</v>
      </c>
      <c r="B219" s="156"/>
      <c r="C219" s="157"/>
      <c r="D219" s="264" t="s">
        <v>155</v>
      </c>
      <c r="E219" s="159"/>
      <c r="F219" s="159"/>
      <c r="G219" s="160"/>
      <c r="H219" s="160"/>
      <c r="I219" s="161"/>
      <c r="J219" s="162"/>
      <c r="K219" s="162">
        <f>SUM(K220:K223)</f>
        <v>542961.5</v>
      </c>
      <c r="L219" s="244"/>
      <c r="M219" s="244"/>
      <c r="N219" s="254"/>
      <c r="O219" s="162"/>
      <c r="P219" s="162">
        <f t="shared" ref="P219:W219" si="30">SUM(P220:P223)</f>
        <v>0</v>
      </c>
      <c r="Q219" s="162">
        <f t="shared" si="30"/>
        <v>189580</v>
      </c>
      <c r="R219" s="162">
        <f t="shared" si="30"/>
        <v>0</v>
      </c>
      <c r="S219" s="162">
        <f t="shared" si="30"/>
        <v>100000</v>
      </c>
      <c r="T219" s="162">
        <f t="shared" si="30"/>
        <v>0</v>
      </c>
      <c r="U219" s="162">
        <f t="shared" si="30"/>
        <v>138381.5</v>
      </c>
      <c r="V219" s="162">
        <f t="shared" si="30"/>
        <v>0</v>
      </c>
      <c r="W219" s="162">
        <f t="shared" si="30"/>
        <v>115000</v>
      </c>
      <c r="X219" s="163"/>
      <c r="Y219" s="231"/>
      <c r="Z219" s="237">
        <f t="shared" si="29"/>
        <v>0</v>
      </c>
    </row>
    <row r="220" spans="1:26" s="141" customFormat="1" x14ac:dyDescent="0.25">
      <c r="A220" s="186">
        <v>21.1</v>
      </c>
      <c r="B220" s="165" t="s">
        <v>415</v>
      </c>
      <c r="C220" s="110">
        <v>3430000</v>
      </c>
      <c r="D220" s="265" t="s">
        <v>156</v>
      </c>
      <c r="E220" s="114"/>
      <c r="F220" s="110">
        <v>796</v>
      </c>
      <c r="G220" s="81" t="s">
        <v>24</v>
      </c>
      <c r="H220" s="129">
        <v>1</v>
      </c>
      <c r="I220" s="151">
        <v>98401</v>
      </c>
      <c r="J220" s="83" t="s">
        <v>429</v>
      </c>
      <c r="K220" s="27">
        <v>58746.5</v>
      </c>
      <c r="L220" s="246" t="str">
        <f>IF(Q220&gt;0,"1 квартал 2012",IF(S220&gt;0,"2 квартал 2012",IF(U220&gt;0,"3 квартал 2012","4 квартал 2012")))</f>
        <v>3 квартал 2012</v>
      </c>
      <c r="M220" s="247"/>
      <c r="N220" s="256"/>
      <c r="O220" s="27"/>
      <c r="P220" s="83"/>
      <c r="Q220" s="27"/>
      <c r="R220" s="83"/>
      <c r="S220" s="191"/>
      <c r="T220" s="83"/>
      <c r="U220" s="27">
        <v>28746.5</v>
      </c>
      <c r="V220" s="24"/>
      <c r="W220" s="24">
        <v>30000</v>
      </c>
      <c r="X220" s="27"/>
      <c r="Z220" s="237">
        <f t="shared" si="29"/>
        <v>0</v>
      </c>
    </row>
    <row r="221" spans="1:26" s="141" customFormat="1" x14ac:dyDescent="0.25">
      <c r="A221" s="186">
        <v>21.2</v>
      </c>
      <c r="B221" s="165" t="s">
        <v>415</v>
      </c>
      <c r="C221" s="110">
        <v>3430000</v>
      </c>
      <c r="D221" s="265" t="s">
        <v>157</v>
      </c>
      <c r="E221" s="114"/>
      <c r="F221" s="110">
        <v>796</v>
      </c>
      <c r="G221" s="81" t="s">
        <v>24</v>
      </c>
      <c r="H221" s="129">
        <v>1</v>
      </c>
      <c r="I221" s="151">
        <v>98401</v>
      </c>
      <c r="J221" s="83" t="s">
        <v>429</v>
      </c>
      <c r="K221" s="27">
        <v>160780</v>
      </c>
      <c r="L221" s="246" t="str">
        <f>IF(Q221&gt;0,"1 квартал 2012",IF(S221&gt;0,"2 квартал 2012",IF(U221&gt;0,"3 квартал 2012","4 квартал 2012")))</f>
        <v>1 квартал 2012</v>
      </c>
      <c r="M221" s="247"/>
      <c r="N221" s="256"/>
      <c r="O221" s="27"/>
      <c r="P221" s="83"/>
      <c r="Q221" s="27">
        <v>89580</v>
      </c>
      <c r="R221" s="83"/>
      <c r="S221" s="27"/>
      <c r="T221" s="83"/>
      <c r="U221" s="27">
        <v>36200</v>
      </c>
      <c r="V221" s="24"/>
      <c r="W221" s="24">
        <v>35000</v>
      </c>
      <c r="X221" s="27"/>
      <c r="Z221" s="237">
        <f t="shared" si="29"/>
        <v>0</v>
      </c>
    </row>
    <row r="222" spans="1:26" s="141" customFormat="1" x14ac:dyDescent="0.25">
      <c r="A222" s="186">
        <v>21.3</v>
      </c>
      <c r="B222" s="165" t="s">
        <v>416</v>
      </c>
      <c r="C222" s="110">
        <v>3430000</v>
      </c>
      <c r="D222" s="265" t="s">
        <v>158</v>
      </c>
      <c r="E222" s="114"/>
      <c r="F222" s="110">
        <v>796</v>
      </c>
      <c r="G222" s="81" t="s">
        <v>24</v>
      </c>
      <c r="H222" s="129">
        <v>2</v>
      </c>
      <c r="I222" s="151">
        <v>98401</v>
      </c>
      <c r="J222" s="83" t="s">
        <v>429</v>
      </c>
      <c r="K222" s="27">
        <v>229920</v>
      </c>
      <c r="L222" s="246" t="str">
        <f>IF(Q222&gt;0,"1 квартал 2012",IF(S222&gt;0,"2 квартал 2012",IF(U222&gt;0,"3 квартал 2012","4 квартал 2012")))</f>
        <v>1 квартал 2012</v>
      </c>
      <c r="M222" s="247"/>
      <c r="N222" s="256"/>
      <c r="O222" s="27"/>
      <c r="P222" s="83"/>
      <c r="Q222" s="27">
        <v>100000</v>
      </c>
      <c r="R222" s="83"/>
      <c r="S222" s="27">
        <v>100000</v>
      </c>
      <c r="T222" s="83"/>
      <c r="U222" s="27">
        <v>4920</v>
      </c>
      <c r="V222" s="24"/>
      <c r="W222" s="24">
        <v>25000</v>
      </c>
      <c r="X222" s="27"/>
      <c r="Z222" s="237">
        <f t="shared" si="29"/>
        <v>0</v>
      </c>
    </row>
    <row r="223" spans="1:26" s="141" customFormat="1" ht="24.75" x14ac:dyDescent="0.25">
      <c r="A223" s="186">
        <v>21.4</v>
      </c>
      <c r="B223" s="165" t="s">
        <v>416</v>
      </c>
      <c r="C223" s="110">
        <v>3430000</v>
      </c>
      <c r="D223" s="265" t="s">
        <v>331</v>
      </c>
      <c r="E223" s="114"/>
      <c r="F223" s="110">
        <v>796</v>
      </c>
      <c r="G223" s="81" t="s">
        <v>17</v>
      </c>
      <c r="H223" s="129">
        <v>10</v>
      </c>
      <c r="I223" s="151">
        <v>98401</v>
      </c>
      <c r="J223" s="83" t="s">
        <v>429</v>
      </c>
      <c r="K223" s="27">
        <v>93515</v>
      </c>
      <c r="L223" s="246" t="str">
        <f>IF(Q223&gt;0,"1 квартал 2012",IF(S223&gt;0,"2 квартал 2012",IF(U223&gt;0,"3 квартал 2012","4 квартал 2012")))</f>
        <v>3 квартал 2012</v>
      </c>
      <c r="M223" s="247"/>
      <c r="N223" s="256"/>
      <c r="O223" s="27"/>
      <c r="P223" s="83"/>
      <c r="Q223" s="27"/>
      <c r="R223" s="83"/>
      <c r="S223" s="27"/>
      <c r="T223" s="83"/>
      <c r="U223" s="27">
        <v>68515</v>
      </c>
      <c r="V223" s="24"/>
      <c r="W223" s="24">
        <v>25000</v>
      </c>
      <c r="X223" s="27"/>
      <c r="Z223" s="237">
        <f t="shared" si="29"/>
        <v>0</v>
      </c>
    </row>
    <row r="224" spans="1:26" s="230" customFormat="1" ht="14.25" x14ac:dyDescent="0.2">
      <c r="A224" s="232">
        <v>22</v>
      </c>
      <c r="B224" s="156"/>
      <c r="C224" s="157"/>
      <c r="D224" s="264" t="s">
        <v>159</v>
      </c>
      <c r="E224" s="159"/>
      <c r="F224" s="159"/>
      <c r="G224" s="160"/>
      <c r="H224" s="160"/>
      <c r="I224" s="161"/>
      <c r="J224" s="162"/>
      <c r="K224" s="162">
        <f>SUM(K225:K227)</f>
        <v>201500</v>
      </c>
      <c r="L224" s="244"/>
      <c r="M224" s="244"/>
      <c r="N224" s="254"/>
      <c r="O224" s="162"/>
      <c r="P224" s="162">
        <f t="shared" ref="P224:W224" si="31">SUM(P225:P227)</f>
        <v>1</v>
      </c>
      <c r="Q224" s="162">
        <f t="shared" si="31"/>
        <v>70000</v>
      </c>
      <c r="R224" s="162">
        <f t="shared" si="31"/>
        <v>0</v>
      </c>
      <c r="S224" s="162">
        <f t="shared" si="31"/>
        <v>0</v>
      </c>
      <c r="T224" s="162">
        <f t="shared" si="31"/>
        <v>2</v>
      </c>
      <c r="U224" s="162">
        <f t="shared" si="31"/>
        <v>131500</v>
      </c>
      <c r="V224" s="162">
        <f t="shared" si="31"/>
        <v>0</v>
      </c>
      <c r="W224" s="162">
        <f t="shared" si="31"/>
        <v>0</v>
      </c>
      <c r="X224" s="163"/>
      <c r="Y224" s="231"/>
      <c r="Z224" s="237">
        <f t="shared" si="29"/>
        <v>0</v>
      </c>
    </row>
    <row r="225" spans="1:26" s="141" customFormat="1" x14ac:dyDescent="0.25">
      <c r="A225" s="186">
        <v>22.1</v>
      </c>
      <c r="B225" s="165" t="s">
        <v>416</v>
      </c>
      <c r="C225" s="110">
        <v>5020020</v>
      </c>
      <c r="D225" s="265" t="s">
        <v>160</v>
      </c>
      <c r="E225" s="114"/>
      <c r="F225" s="110">
        <v>796</v>
      </c>
      <c r="G225" s="81" t="s">
        <v>24</v>
      </c>
      <c r="H225" s="129">
        <v>1</v>
      </c>
      <c r="I225" s="151">
        <v>98401</v>
      </c>
      <c r="J225" s="83" t="s">
        <v>429</v>
      </c>
      <c r="K225" s="27">
        <v>100000</v>
      </c>
      <c r="L225" s="246" t="str">
        <f>IF(Q225&gt;0,"1 квартал 2012",IF(S225&gt;0,"2 квартал 2012",IF(U225&gt;0,"3 квартал 2012","4 квартал 2012")))</f>
        <v>3 квартал 2012</v>
      </c>
      <c r="M225" s="247"/>
      <c r="N225" s="256"/>
      <c r="O225" s="27"/>
      <c r="P225" s="83"/>
      <c r="Q225" s="27"/>
      <c r="R225" s="83"/>
      <c r="S225" s="191"/>
      <c r="T225" s="83">
        <v>1</v>
      </c>
      <c r="U225" s="27">
        <v>100000</v>
      </c>
      <c r="V225" s="24"/>
      <c r="W225" s="24"/>
      <c r="X225" s="27"/>
      <c r="Z225" s="237">
        <f t="shared" si="29"/>
        <v>0</v>
      </c>
    </row>
    <row r="226" spans="1:26" s="141" customFormat="1" x14ac:dyDescent="0.25">
      <c r="A226" s="186">
        <v>22.2</v>
      </c>
      <c r="B226" s="165" t="s">
        <v>416</v>
      </c>
      <c r="C226" s="110">
        <v>5020020</v>
      </c>
      <c r="D226" s="265" t="s">
        <v>161</v>
      </c>
      <c r="E226" s="114"/>
      <c r="F226" s="110">
        <v>796</v>
      </c>
      <c r="G226" s="81" t="s">
        <v>24</v>
      </c>
      <c r="H226" s="129">
        <v>1</v>
      </c>
      <c r="I226" s="151">
        <v>98401</v>
      </c>
      <c r="J226" s="83" t="s">
        <v>429</v>
      </c>
      <c r="K226" s="27">
        <v>70000</v>
      </c>
      <c r="L226" s="246" t="str">
        <f>IF(Q226&gt;0,"1 квартал 2012",IF(S226&gt;0,"2 квартал 2012",IF(U226&gt;0,"3 квартал 2012","4 квартал 2012")))</f>
        <v>1 квартал 2012</v>
      </c>
      <c r="M226" s="247"/>
      <c r="N226" s="256"/>
      <c r="O226" s="27"/>
      <c r="P226" s="83">
        <v>1</v>
      </c>
      <c r="Q226" s="27">
        <v>70000</v>
      </c>
      <c r="R226" s="83"/>
      <c r="S226" s="27"/>
      <c r="T226" s="83"/>
      <c r="U226" s="27"/>
      <c r="V226" s="24"/>
      <c r="W226" s="24"/>
      <c r="X226" s="27"/>
      <c r="Z226" s="237">
        <f t="shared" si="29"/>
        <v>0</v>
      </c>
    </row>
    <row r="227" spans="1:26" s="141" customFormat="1" x14ac:dyDescent="0.25">
      <c r="A227" s="186">
        <v>22.3</v>
      </c>
      <c r="B227" s="165" t="s">
        <v>416</v>
      </c>
      <c r="C227" s="110"/>
      <c r="D227" s="265" t="s">
        <v>162</v>
      </c>
      <c r="E227" s="114"/>
      <c r="F227" s="110">
        <v>796</v>
      </c>
      <c r="G227" s="81" t="s">
        <v>24</v>
      </c>
      <c r="H227" s="129">
        <v>1</v>
      </c>
      <c r="I227" s="151">
        <v>98401</v>
      </c>
      <c r="J227" s="83" t="s">
        <v>429</v>
      </c>
      <c r="K227" s="27">
        <v>31500</v>
      </c>
      <c r="L227" s="246" t="str">
        <f>IF(Q227&gt;0,"1 квартал 2012",IF(S227&gt;0,"2 квартал 2012",IF(U227&gt;0,"3 квартал 2012","4 квартал 2012")))</f>
        <v>3 квартал 2012</v>
      </c>
      <c r="M227" s="247"/>
      <c r="N227" s="256"/>
      <c r="O227" s="27"/>
      <c r="P227" s="83"/>
      <c r="Q227" s="27"/>
      <c r="R227" s="83"/>
      <c r="S227" s="27"/>
      <c r="T227" s="83">
        <v>1</v>
      </c>
      <c r="U227" s="27">
        <v>31500</v>
      </c>
      <c r="V227" s="24"/>
      <c r="W227" s="24"/>
      <c r="X227" s="27"/>
      <c r="Z227" s="237">
        <f t="shared" si="29"/>
        <v>0</v>
      </c>
    </row>
    <row r="228" spans="1:26" s="230" customFormat="1" ht="14.25" x14ac:dyDescent="0.2">
      <c r="A228" s="232">
        <v>23</v>
      </c>
      <c r="B228" s="156"/>
      <c r="C228" s="157"/>
      <c r="D228" s="264" t="s">
        <v>163</v>
      </c>
      <c r="E228" s="159"/>
      <c r="F228" s="159"/>
      <c r="G228" s="160"/>
      <c r="H228" s="160"/>
      <c r="I228" s="161"/>
      <c r="J228" s="162"/>
      <c r="K228" s="162">
        <f>SUM(K229:K231)</f>
        <v>1081500</v>
      </c>
      <c r="L228" s="244"/>
      <c r="M228" s="244"/>
      <c r="N228" s="254"/>
      <c r="O228" s="162"/>
      <c r="P228" s="162">
        <f t="shared" ref="P228:W228" si="32">SUM(P229:P231)</f>
        <v>0</v>
      </c>
      <c r="Q228" s="162">
        <f t="shared" si="32"/>
        <v>0</v>
      </c>
      <c r="R228" s="162">
        <f t="shared" si="32"/>
        <v>30908</v>
      </c>
      <c r="S228" s="162">
        <f t="shared" si="32"/>
        <v>1081500</v>
      </c>
      <c r="T228" s="162">
        <f t="shared" si="32"/>
        <v>0</v>
      </c>
      <c r="U228" s="162">
        <f t="shared" si="32"/>
        <v>0</v>
      </c>
      <c r="V228" s="162">
        <f t="shared" si="32"/>
        <v>0</v>
      </c>
      <c r="W228" s="162">
        <f t="shared" si="32"/>
        <v>0</v>
      </c>
      <c r="X228" s="163"/>
      <c r="Y228" s="231"/>
      <c r="Z228" s="237">
        <f t="shared" si="29"/>
        <v>0</v>
      </c>
    </row>
    <row r="229" spans="1:26" s="141" customFormat="1" ht="48.75" x14ac:dyDescent="0.25">
      <c r="A229" s="186">
        <v>23.1</v>
      </c>
      <c r="B229" s="165" t="s">
        <v>417</v>
      </c>
      <c r="C229" s="110">
        <v>2320212</v>
      </c>
      <c r="D229" s="265" t="s">
        <v>164</v>
      </c>
      <c r="E229" s="114"/>
      <c r="F229" s="114">
        <v>112</v>
      </c>
      <c r="G229" s="81" t="s">
        <v>165</v>
      </c>
      <c r="H229" s="81">
        <v>25300</v>
      </c>
      <c r="I229" s="151">
        <v>98401</v>
      </c>
      <c r="J229" s="83" t="s">
        <v>429</v>
      </c>
      <c r="K229" s="83">
        <v>885500</v>
      </c>
      <c r="L229" s="246" t="str">
        <f>IF(Q229&gt;0,"1 квартал 2012",IF(S229&gt;0,"2 квартал 2012",IF(U229&gt;0,"3 квартал 2012","4 квартал 2012")))</f>
        <v>2 квартал 2012</v>
      </c>
      <c r="M229" s="249"/>
      <c r="N229" s="255"/>
      <c r="O229" s="83"/>
      <c r="P229" s="83"/>
      <c r="Q229" s="83"/>
      <c r="R229" s="83">
        <v>25308</v>
      </c>
      <c r="S229" s="83">
        <v>885500</v>
      </c>
      <c r="T229" s="83"/>
      <c r="U229" s="83"/>
      <c r="V229" s="83"/>
      <c r="W229" s="83"/>
      <c r="X229" s="167"/>
      <c r="Z229" s="237">
        <f t="shared" si="29"/>
        <v>0</v>
      </c>
    </row>
    <row r="230" spans="1:26" s="141" customFormat="1" x14ac:dyDescent="0.25">
      <c r="A230" s="186">
        <v>23.2</v>
      </c>
      <c r="B230" s="165" t="s">
        <v>417</v>
      </c>
      <c r="C230" s="110">
        <v>2320230</v>
      </c>
      <c r="D230" s="265" t="s">
        <v>166</v>
      </c>
      <c r="E230" s="114"/>
      <c r="F230" s="114">
        <v>112</v>
      </c>
      <c r="G230" s="81" t="s">
        <v>165</v>
      </c>
      <c r="H230" s="81">
        <v>4600</v>
      </c>
      <c r="I230" s="151">
        <v>98401</v>
      </c>
      <c r="J230" s="83" t="s">
        <v>429</v>
      </c>
      <c r="K230" s="83">
        <v>161000</v>
      </c>
      <c r="L230" s="246" t="str">
        <f>IF(Q230&gt;0,"1 квартал 2012",IF(S230&gt;0,"2 квартал 2012",IF(U230&gt;0,"3 квартал 2012","4 квартал 2012")))</f>
        <v>2 квартал 2012</v>
      </c>
      <c r="M230" s="249"/>
      <c r="N230" s="255"/>
      <c r="O230" s="83"/>
      <c r="P230" s="83"/>
      <c r="Q230" s="83"/>
      <c r="R230" s="83">
        <v>4600</v>
      </c>
      <c r="S230" s="83">
        <v>161000</v>
      </c>
      <c r="T230" s="83"/>
      <c r="U230" s="83"/>
      <c r="V230" s="83"/>
      <c r="W230" s="83"/>
      <c r="X230" s="167"/>
      <c r="Z230" s="237">
        <f t="shared" si="29"/>
        <v>0</v>
      </c>
    </row>
    <row r="231" spans="1:26" s="141" customFormat="1" ht="24.75" x14ac:dyDescent="0.25">
      <c r="A231" s="186">
        <v>23.3</v>
      </c>
      <c r="B231" s="165" t="s">
        <v>417</v>
      </c>
      <c r="C231" s="110">
        <v>2320230</v>
      </c>
      <c r="D231" s="265" t="s">
        <v>167</v>
      </c>
      <c r="E231" s="114"/>
      <c r="F231" s="114">
        <v>112</v>
      </c>
      <c r="G231" s="81" t="s">
        <v>165</v>
      </c>
      <c r="H231" s="81">
        <v>1000</v>
      </c>
      <c r="I231" s="151">
        <v>98401</v>
      </c>
      <c r="J231" s="83" t="s">
        <v>429</v>
      </c>
      <c r="K231" s="83">
        <v>35000</v>
      </c>
      <c r="L231" s="246" t="str">
        <f>IF(Q231&gt;0,"1 квартал 2012",IF(S231&gt;0,"2 квартал 2012",IF(U231&gt;0,"3 квартал 2012","4 квартал 2012")))</f>
        <v>2 квартал 2012</v>
      </c>
      <c r="M231" s="249"/>
      <c r="N231" s="255"/>
      <c r="O231" s="83"/>
      <c r="P231" s="83"/>
      <c r="Q231" s="83"/>
      <c r="R231" s="83">
        <v>1000</v>
      </c>
      <c r="S231" s="83">
        <v>35000</v>
      </c>
      <c r="T231" s="83"/>
      <c r="U231" s="83"/>
      <c r="V231" s="83"/>
      <c r="W231" s="83"/>
      <c r="X231" s="167"/>
      <c r="Z231" s="237">
        <f t="shared" si="29"/>
        <v>0</v>
      </c>
    </row>
    <row r="232" spans="1:26" s="230" customFormat="1" ht="14.25" x14ac:dyDescent="0.2">
      <c r="A232" s="232">
        <v>24</v>
      </c>
      <c r="B232" s="156"/>
      <c r="C232" s="157"/>
      <c r="D232" s="264" t="s">
        <v>168</v>
      </c>
      <c r="E232" s="159"/>
      <c r="F232" s="159"/>
      <c r="G232" s="160"/>
      <c r="H232" s="160"/>
      <c r="I232" s="161"/>
      <c r="J232" s="162"/>
      <c r="K232" s="162">
        <f>SUM(K233:K242)</f>
        <v>2367300</v>
      </c>
      <c r="L232" s="244"/>
      <c r="M232" s="244"/>
      <c r="N232" s="254"/>
      <c r="O232" s="162"/>
      <c r="P232" s="162">
        <f t="shared" ref="P232:W232" si="33">SUM(P233:P242)</f>
        <v>0</v>
      </c>
      <c r="Q232" s="162">
        <f t="shared" si="33"/>
        <v>0</v>
      </c>
      <c r="R232" s="162">
        <f t="shared" si="33"/>
        <v>101</v>
      </c>
      <c r="S232" s="162">
        <f t="shared" si="33"/>
        <v>293200</v>
      </c>
      <c r="T232" s="162">
        <f t="shared" si="33"/>
        <v>158</v>
      </c>
      <c r="U232" s="162">
        <f t="shared" si="33"/>
        <v>1263600</v>
      </c>
      <c r="V232" s="162">
        <f t="shared" si="33"/>
        <v>132</v>
      </c>
      <c r="W232" s="162">
        <f t="shared" si="33"/>
        <v>810500</v>
      </c>
      <c r="X232" s="163"/>
      <c r="Y232" s="231"/>
      <c r="Z232" s="237">
        <f t="shared" si="29"/>
        <v>0</v>
      </c>
    </row>
    <row r="233" spans="1:26" s="141" customFormat="1" x14ac:dyDescent="0.25">
      <c r="A233" s="186">
        <v>24.1</v>
      </c>
      <c r="B233" s="165" t="s">
        <v>418</v>
      </c>
      <c r="C233" s="110">
        <v>3612000</v>
      </c>
      <c r="D233" s="266" t="s">
        <v>169</v>
      </c>
      <c r="E233" s="213"/>
      <c r="F233" s="110">
        <v>796</v>
      </c>
      <c r="G233" s="81" t="s">
        <v>17</v>
      </c>
      <c r="H233" s="81">
        <v>51</v>
      </c>
      <c r="I233" s="151">
        <v>98401</v>
      </c>
      <c r="J233" s="83" t="s">
        <v>429</v>
      </c>
      <c r="K233" s="83">
        <v>450600</v>
      </c>
      <c r="L233" s="246" t="str">
        <f t="shared" ref="L233:L242" si="34">IF(Q233&gt;0,"1 квартал 2012",IF(S233&gt;0,"2 квартал 2012",IF(U233&gt;0,"3 квартал 2012","4 квартал 2012")))</f>
        <v>2 квартал 2012</v>
      </c>
      <c r="M233" s="249"/>
      <c r="N233" s="255"/>
      <c r="O233" s="83"/>
      <c r="P233" s="83"/>
      <c r="Q233" s="83"/>
      <c r="R233" s="83">
        <v>11</v>
      </c>
      <c r="S233" s="83">
        <v>50600</v>
      </c>
      <c r="T233" s="83">
        <v>20</v>
      </c>
      <c r="U233" s="83">
        <v>200000</v>
      </c>
      <c r="V233" s="83">
        <v>20</v>
      </c>
      <c r="W233" s="83">
        <v>200000</v>
      </c>
      <c r="X233" s="167"/>
      <c r="Z233" s="237">
        <f t="shared" si="29"/>
        <v>0</v>
      </c>
    </row>
    <row r="234" spans="1:26" s="141" customFormat="1" x14ac:dyDescent="0.25">
      <c r="A234" s="186">
        <v>24.2</v>
      </c>
      <c r="B234" s="165" t="s">
        <v>418</v>
      </c>
      <c r="C234" s="110">
        <v>3612000</v>
      </c>
      <c r="D234" s="266" t="s">
        <v>170</v>
      </c>
      <c r="E234" s="213"/>
      <c r="F234" s="110">
        <v>796</v>
      </c>
      <c r="G234" s="81" t="s">
        <v>17</v>
      </c>
      <c r="H234" s="81">
        <v>144</v>
      </c>
      <c r="I234" s="151">
        <v>98401</v>
      </c>
      <c r="J234" s="83" t="s">
        <v>429</v>
      </c>
      <c r="K234" s="83">
        <v>506000</v>
      </c>
      <c r="L234" s="246" t="str">
        <f t="shared" si="34"/>
        <v>2 квартал 2012</v>
      </c>
      <c r="M234" s="249"/>
      <c r="N234" s="255"/>
      <c r="O234" s="83"/>
      <c r="P234" s="83"/>
      <c r="Q234" s="83"/>
      <c r="R234" s="83">
        <v>64</v>
      </c>
      <c r="S234" s="83">
        <v>96000</v>
      </c>
      <c r="T234" s="83">
        <v>50</v>
      </c>
      <c r="U234" s="83">
        <v>320000</v>
      </c>
      <c r="V234" s="83">
        <v>30</v>
      </c>
      <c r="W234" s="83">
        <v>90000</v>
      </c>
      <c r="X234" s="167"/>
      <c r="Z234" s="237">
        <f t="shared" si="29"/>
        <v>0</v>
      </c>
    </row>
    <row r="235" spans="1:26" s="141" customFormat="1" x14ac:dyDescent="0.25">
      <c r="A235" s="186">
        <v>24.3</v>
      </c>
      <c r="B235" s="165" t="s">
        <v>418</v>
      </c>
      <c r="C235" s="110">
        <v>3612000</v>
      </c>
      <c r="D235" s="266" t="s">
        <v>338</v>
      </c>
      <c r="E235" s="213"/>
      <c r="F235" s="110">
        <v>796</v>
      </c>
      <c r="G235" s="81" t="s">
        <v>17</v>
      </c>
      <c r="H235" s="81">
        <v>86</v>
      </c>
      <c r="I235" s="151">
        <v>98401</v>
      </c>
      <c r="J235" s="83" t="s">
        <v>429</v>
      </c>
      <c r="K235" s="83">
        <v>586800</v>
      </c>
      <c r="L235" s="246" t="str">
        <f t="shared" si="34"/>
        <v>2 квартал 2012</v>
      </c>
      <c r="M235" s="249"/>
      <c r="N235" s="255"/>
      <c r="O235" s="83"/>
      <c r="P235" s="83"/>
      <c r="Q235" s="83"/>
      <c r="R235" s="83">
        <v>2</v>
      </c>
      <c r="S235" s="83">
        <v>4800</v>
      </c>
      <c r="T235" s="83">
        <v>54</v>
      </c>
      <c r="U235" s="83">
        <v>432000</v>
      </c>
      <c r="V235" s="83">
        <v>30</v>
      </c>
      <c r="W235" s="83">
        <v>150000</v>
      </c>
      <c r="X235" s="167"/>
      <c r="Z235" s="237">
        <f t="shared" si="29"/>
        <v>0</v>
      </c>
    </row>
    <row r="236" spans="1:26" s="141" customFormat="1" x14ac:dyDescent="0.25">
      <c r="A236" s="186">
        <v>24.4</v>
      </c>
      <c r="B236" s="165" t="s">
        <v>418</v>
      </c>
      <c r="C236" s="110">
        <v>3612000</v>
      </c>
      <c r="D236" s="266" t="s">
        <v>171</v>
      </c>
      <c r="E236" s="213"/>
      <c r="F236" s="110">
        <v>796</v>
      </c>
      <c r="G236" s="81" t="s">
        <v>17</v>
      </c>
      <c r="H236" s="81">
        <v>25</v>
      </c>
      <c r="I236" s="151">
        <v>98401</v>
      </c>
      <c r="J236" s="83" t="s">
        <v>429</v>
      </c>
      <c r="K236" s="83">
        <v>235000</v>
      </c>
      <c r="L236" s="246" t="str">
        <f t="shared" si="34"/>
        <v>2 квартал 2012</v>
      </c>
      <c r="M236" s="249"/>
      <c r="N236" s="255"/>
      <c r="O236" s="83"/>
      <c r="P236" s="83"/>
      <c r="Q236" s="83"/>
      <c r="R236" s="83">
        <v>5</v>
      </c>
      <c r="S236" s="83">
        <v>35000</v>
      </c>
      <c r="T236" s="83">
        <v>10</v>
      </c>
      <c r="U236" s="83">
        <v>100000</v>
      </c>
      <c r="V236" s="83">
        <v>10</v>
      </c>
      <c r="W236" s="83">
        <v>100000</v>
      </c>
      <c r="X236" s="167"/>
      <c r="Z236" s="237">
        <f t="shared" si="29"/>
        <v>0</v>
      </c>
    </row>
    <row r="237" spans="1:26" s="141" customFormat="1" x14ac:dyDescent="0.25">
      <c r="A237" s="186">
        <v>24.5</v>
      </c>
      <c r="B237" s="165" t="s">
        <v>418</v>
      </c>
      <c r="C237" s="110">
        <v>3612000</v>
      </c>
      <c r="D237" s="266" t="s">
        <v>172</v>
      </c>
      <c r="E237" s="213"/>
      <c r="F237" s="110">
        <v>796</v>
      </c>
      <c r="G237" s="81" t="s">
        <v>17</v>
      </c>
      <c r="H237" s="81">
        <v>23</v>
      </c>
      <c r="I237" s="151">
        <v>98401</v>
      </c>
      <c r="J237" s="83" t="s">
        <v>429</v>
      </c>
      <c r="K237" s="83">
        <v>199000</v>
      </c>
      <c r="L237" s="246" t="str">
        <f t="shared" si="34"/>
        <v>2 квартал 2012</v>
      </c>
      <c r="M237" s="249"/>
      <c r="N237" s="255"/>
      <c r="O237" s="83"/>
      <c r="P237" s="83"/>
      <c r="Q237" s="83"/>
      <c r="R237" s="83">
        <v>7</v>
      </c>
      <c r="S237" s="83">
        <v>49000</v>
      </c>
      <c r="T237" s="83">
        <v>10</v>
      </c>
      <c r="U237" s="83">
        <v>60000</v>
      </c>
      <c r="V237" s="83">
        <v>6</v>
      </c>
      <c r="W237" s="83">
        <v>90000</v>
      </c>
      <c r="X237" s="167"/>
      <c r="Z237" s="237">
        <f t="shared" si="29"/>
        <v>0</v>
      </c>
    </row>
    <row r="238" spans="1:26" s="141" customFormat="1" x14ac:dyDescent="0.25">
      <c r="A238" s="186">
        <v>24.6</v>
      </c>
      <c r="B238" s="165" t="s">
        <v>418</v>
      </c>
      <c r="C238" s="110">
        <v>3612000</v>
      </c>
      <c r="D238" s="266" t="s">
        <v>173</v>
      </c>
      <c r="E238" s="213"/>
      <c r="F238" s="110">
        <v>796</v>
      </c>
      <c r="G238" s="81" t="s">
        <v>17</v>
      </c>
      <c r="H238" s="81">
        <v>32</v>
      </c>
      <c r="I238" s="151">
        <v>98401</v>
      </c>
      <c r="J238" s="83" t="s">
        <v>429</v>
      </c>
      <c r="K238" s="83">
        <v>145900</v>
      </c>
      <c r="L238" s="246" t="str">
        <f t="shared" si="34"/>
        <v>2 квартал 2012</v>
      </c>
      <c r="M238" s="249"/>
      <c r="N238" s="255"/>
      <c r="O238" s="83"/>
      <c r="P238" s="83"/>
      <c r="Q238" s="83"/>
      <c r="R238" s="83">
        <v>11</v>
      </c>
      <c r="S238" s="83">
        <v>52800</v>
      </c>
      <c r="T238" s="83">
        <v>1</v>
      </c>
      <c r="U238" s="83">
        <v>3100</v>
      </c>
      <c r="V238" s="83">
        <v>20</v>
      </c>
      <c r="W238" s="83">
        <v>90000</v>
      </c>
      <c r="X238" s="167"/>
      <c r="Z238" s="237">
        <f t="shared" si="29"/>
        <v>0</v>
      </c>
    </row>
    <row r="239" spans="1:26" s="141" customFormat="1" x14ac:dyDescent="0.25">
      <c r="A239" s="186">
        <v>24.7</v>
      </c>
      <c r="B239" s="165" t="s">
        <v>418</v>
      </c>
      <c r="C239" s="110">
        <v>3612000</v>
      </c>
      <c r="D239" s="266" t="s">
        <v>174</v>
      </c>
      <c r="E239" s="213"/>
      <c r="F239" s="110">
        <v>796</v>
      </c>
      <c r="G239" s="81" t="s">
        <v>17</v>
      </c>
      <c r="H239" s="81">
        <v>11</v>
      </c>
      <c r="I239" s="151">
        <v>98401</v>
      </c>
      <c r="J239" s="83" t="s">
        <v>429</v>
      </c>
      <c r="K239" s="83">
        <v>65000</v>
      </c>
      <c r="L239" s="246" t="str">
        <f t="shared" si="34"/>
        <v>2 квартал 2012</v>
      </c>
      <c r="M239" s="249"/>
      <c r="N239" s="255"/>
      <c r="O239" s="83"/>
      <c r="P239" s="83"/>
      <c r="Q239" s="83"/>
      <c r="R239" s="83">
        <v>1</v>
      </c>
      <c r="S239" s="83">
        <v>5000</v>
      </c>
      <c r="T239" s="83"/>
      <c r="U239" s="83"/>
      <c r="V239" s="83">
        <v>10</v>
      </c>
      <c r="W239" s="83">
        <v>60000</v>
      </c>
      <c r="X239" s="167"/>
      <c r="Z239" s="237">
        <f t="shared" si="29"/>
        <v>0</v>
      </c>
    </row>
    <row r="240" spans="1:26" s="141" customFormat="1" x14ac:dyDescent="0.25">
      <c r="A240" s="186">
        <v>24.8</v>
      </c>
      <c r="B240" s="165" t="s">
        <v>418</v>
      </c>
      <c r="C240" s="110">
        <v>3612000</v>
      </c>
      <c r="D240" s="266" t="s">
        <v>175</v>
      </c>
      <c r="E240" s="213"/>
      <c r="F240" s="110">
        <v>796</v>
      </c>
      <c r="G240" s="81" t="s">
        <v>17</v>
      </c>
      <c r="H240" s="81">
        <v>5</v>
      </c>
      <c r="I240" s="151">
        <v>98401</v>
      </c>
      <c r="J240" s="83" t="s">
        <v>429</v>
      </c>
      <c r="K240" s="83">
        <v>28000</v>
      </c>
      <c r="L240" s="246" t="str">
        <f t="shared" si="34"/>
        <v>3 квартал 2012</v>
      </c>
      <c r="M240" s="249"/>
      <c r="N240" s="255"/>
      <c r="O240" s="83"/>
      <c r="P240" s="83"/>
      <c r="Q240" s="83"/>
      <c r="R240" s="83"/>
      <c r="S240" s="83"/>
      <c r="T240" s="83">
        <v>5</v>
      </c>
      <c r="U240" s="83">
        <v>28000</v>
      </c>
      <c r="V240" s="83"/>
      <c r="W240" s="83"/>
      <c r="X240" s="167"/>
      <c r="Z240" s="237">
        <f t="shared" si="29"/>
        <v>0</v>
      </c>
    </row>
    <row r="241" spans="1:26" s="141" customFormat="1" x14ac:dyDescent="0.25">
      <c r="A241" s="186">
        <v>24.9</v>
      </c>
      <c r="B241" s="165" t="s">
        <v>418</v>
      </c>
      <c r="C241" s="110">
        <v>3612000</v>
      </c>
      <c r="D241" s="266" t="s">
        <v>176</v>
      </c>
      <c r="E241" s="213"/>
      <c r="F241" s="110">
        <v>796</v>
      </c>
      <c r="G241" s="81" t="s">
        <v>17</v>
      </c>
      <c r="H241" s="81">
        <v>2</v>
      </c>
      <c r="I241" s="151">
        <v>98401</v>
      </c>
      <c r="J241" s="83" t="s">
        <v>429</v>
      </c>
      <c r="K241" s="83">
        <v>90000</v>
      </c>
      <c r="L241" s="246" t="str">
        <f t="shared" si="34"/>
        <v>3 квартал 2012</v>
      </c>
      <c r="M241" s="249"/>
      <c r="N241" s="255"/>
      <c r="O241" s="83"/>
      <c r="P241" s="83"/>
      <c r="Q241" s="83"/>
      <c r="R241" s="83"/>
      <c r="S241" s="83"/>
      <c r="T241" s="83">
        <v>2</v>
      </c>
      <c r="U241" s="83">
        <v>90000</v>
      </c>
      <c r="V241" s="83"/>
      <c r="W241" s="83"/>
      <c r="X241" s="167"/>
      <c r="Z241" s="237">
        <f t="shared" si="29"/>
        <v>0</v>
      </c>
    </row>
    <row r="242" spans="1:26" s="141" customFormat="1" x14ac:dyDescent="0.25">
      <c r="A242" s="186">
        <v>24.1</v>
      </c>
      <c r="B242" s="165" t="s">
        <v>418</v>
      </c>
      <c r="C242" s="110">
        <v>3612000</v>
      </c>
      <c r="D242" s="266" t="s">
        <v>329</v>
      </c>
      <c r="E242" s="213"/>
      <c r="F242" s="110">
        <v>796</v>
      </c>
      <c r="G242" s="81" t="s">
        <v>17</v>
      </c>
      <c r="H242" s="81">
        <v>12</v>
      </c>
      <c r="I242" s="151">
        <v>98401</v>
      </c>
      <c r="J242" s="83" t="s">
        <v>429</v>
      </c>
      <c r="K242" s="83">
        <v>61000</v>
      </c>
      <c r="L242" s="246" t="str">
        <f t="shared" si="34"/>
        <v>3 квартал 2012</v>
      </c>
      <c r="M242" s="249"/>
      <c r="N242" s="255"/>
      <c r="O242" s="83"/>
      <c r="P242" s="83"/>
      <c r="Q242" s="83"/>
      <c r="R242" s="83"/>
      <c r="S242" s="83"/>
      <c r="T242" s="83">
        <v>6</v>
      </c>
      <c r="U242" s="83">
        <v>30500</v>
      </c>
      <c r="V242" s="83">
        <v>6</v>
      </c>
      <c r="W242" s="83">
        <v>30500</v>
      </c>
      <c r="X242" s="167"/>
      <c r="Z242" s="237">
        <f t="shared" si="29"/>
        <v>0</v>
      </c>
    </row>
    <row r="243" spans="1:26" s="230" customFormat="1" ht="24" x14ac:dyDescent="0.2">
      <c r="A243" s="232">
        <v>25</v>
      </c>
      <c r="B243" s="156"/>
      <c r="C243" s="157"/>
      <c r="D243" s="264" t="s">
        <v>177</v>
      </c>
      <c r="E243" s="159"/>
      <c r="F243" s="159"/>
      <c r="G243" s="160"/>
      <c r="H243" s="160"/>
      <c r="I243" s="161"/>
      <c r="J243" s="162"/>
      <c r="K243" s="162">
        <f>SUM(K244:K296)</f>
        <v>15258095</v>
      </c>
      <c r="L243" s="244"/>
      <c r="M243" s="244"/>
      <c r="N243" s="254"/>
      <c r="O243" s="162"/>
      <c r="P243" s="162">
        <f t="shared" ref="P243:W243" si="35">SUM(P244:P296)</f>
        <v>260</v>
      </c>
      <c r="Q243" s="162">
        <f t="shared" si="35"/>
        <v>1186700</v>
      </c>
      <c r="R243" s="162">
        <f t="shared" si="35"/>
        <v>279</v>
      </c>
      <c r="S243" s="162">
        <f t="shared" si="35"/>
        <v>771200</v>
      </c>
      <c r="T243" s="162">
        <f t="shared" si="35"/>
        <v>344</v>
      </c>
      <c r="U243" s="162">
        <f t="shared" si="35"/>
        <v>3015295</v>
      </c>
      <c r="V243" s="162">
        <f t="shared" si="35"/>
        <v>391</v>
      </c>
      <c r="W243" s="162">
        <f t="shared" si="35"/>
        <v>10284900</v>
      </c>
      <c r="X243" s="163"/>
      <c r="Y243" s="231"/>
      <c r="Z243" s="237">
        <f t="shared" si="29"/>
        <v>0</v>
      </c>
    </row>
    <row r="244" spans="1:26" s="141" customFormat="1" x14ac:dyDescent="0.25">
      <c r="A244" s="186">
        <v>25.1</v>
      </c>
      <c r="B244" s="165" t="s">
        <v>410</v>
      </c>
      <c r="C244" s="110">
        <v>5235020</v>
      </c>
      <c r="D244" s="265" t="s">
        <v>178</v>
      </c>
      <c r="E244" s="114"/>
      <c r="F244" s="110">
        <v>796</v>
      </c>
      <c r="G244" s="81" t="s">
        <v>17</v>
      </c>
      <c r="H244" s="81">
        <v>12</v>
      </c>
      <c r="I244" s="151">
        <v>98401</v>
      </c>
      <c r="J244" s="83" t="s">
        <v>429</v>
      </c>
      <c r="K244" s="83">
        <v>736900</v>
      </c>
      <c r="L244" s="246" t="str">
        <f t="shared" ref="L244:L305" si="36">IF(Q244&gt;0,"1 квартал 2012",IF(S244&gt;0,"2 квартал 2012",IF(U244&gt;0,"3 квартал 2012","4 квартал 2012")))</f>
        <v>1 квартал 2012</v>
      </c>
      <c r="M244" s="249"/>
      <c r="N244" s="255"/>
      <c r="O244" s="83"/>
      <c r="P244" s="83">
        <v>12</v>
      </c>
      <c r="Q244" s="83">
        <v>480000</v>
      </c>
      <c r="R244" s="83"/>
      <c r="S244" s="83"/>
      <c r="T244" s="83">
        <v>1</v>
      </c>
      <c r="U244" s="83">
        <v>36900</v>
      </c>
      <c r="V244" s="83">
        <v>4</v>
      </c>
      <c r="W244" s="83">
        <v>220000</v>
      </c>
      <c r="X244" s="167"/>
      <c r="Z244" s="237">
        <f t="shared" si="29"/>
        <v>0</v>
      </c>
    </row>
    <row r="245" spans="1:26" s="141" customFormat="1" x14ac:dyDescent="0.25">
      <c r="A245" s="186">
        <v>25.2</v>
      </c>
      <c r="B245" s="165" t="s">
        <v>410</v>
      </c>
      <c r="C245" s="110">
        <v>5235020</v>
      </c>
      <c r="D245" s="265" t="s">
        <v>179</v>
      </c>
      <c r="E245" s="114"/>
      <c r="F245" s="110">
        <v>796</v>
      </c>
      <c r="G245" s="81" t="s">
        <v>17</v>
      </c>
      <c r="H245" s="81">
        <v>7</v>
      </c>
      <c r="I245" s="151">
        <v>98401</v>
      </c>
      <c r="J245" s="83" t="s">
        <v>429</v>
      </c>
      <c r="K245" s="83">
        <v>226450</v>
      </c>
      <c r="L245" s="246" t="str">
        <f t="shared" si="36"/>
        <v>1 квартал 2012</v>
      </c>
      <c r="M245" s="249"/>
      <c r="N245" s="255"/>
      <c r="O245" s="83"/>
      <c r="P245" s="83">
        <v>1</v>
      </c>
      <c r="Q245" s="83">
        <v>36500</v>
      </c>
      <c r="R245" s="83">
        <v>1</v>
      </c>
      <c r="S245" s="83">
        <v>36500</v>
      </c>
      <c r="T245" s="83">
        <v>3</v>
      </c>
      <c r="U245" s="83">
        <v>80450</v>
      </c>
      <c r="V245" s="83">
        <v>2</v>
      </c>
      <c r="W245" s="83">
        <v>73000</v>
      </c>
      <c r="X245" s="167"/>
      <c r="Z245" s="237">
        <f t="shared" si="29"/>
        <v>0</v>
      </c>
    </row>
    <row r="246" spans="1:26" s="141" customFormat="1" x14ac:dyDescent="0.25">
      <c r="A246" s="186">
        <v>25.3</v>
      </c>
      <c r="B246" s="165" t="s">
        <v>410</v>
      </c>
      <c r="C246" s="110">
        <v>5235020</v>
      </c>
      <c r="D246" s="265" t="s">
        <v>180</v>
      </c>
      <c r="E246" s="114"/>
      <c r="F246" s="110">
        <v>796</v>
      </c>
      <c r="G246" s="81" t="s">
        <v>17</v>
      </c>
      <c r="H246" s="81">
        <v>5</v>
      </c>
      <c r="I246" s="151">
        <v>98401</v>
      </c>
      <c r="J246" s="83" t="s">
        <v>429</v>
      </c>
      <c r="K246" s="83">
        <v>40000</v>
      </c>
      <c r="L246" s="246" t="str">
        <f t="shared" si="36"/>
        <v>1 квартал 2012</v>
      </c>
      <c r="M246" s="249"/>
      <c r="N246" s="255"/>
      <c r="O246" s="83"/>
      <c r="P246" s="83">
        <v>5</v>
      </c>
      <c r="Q246" s="83">
        <v>40000</v>
      </c>
      <c r="R246" s="83"/>
      <c r="S246" s="83"/>
      <c r="T246" s="83"/>
      <c r="U246" s="83"/>
      <c r="V246" s="83"/>
      <c r="W246" s="83"/>
      <c r="X246" s="167"/>
      <c r="Z246" s="237">
        <f t="shared" si="29"/>
        <v>0</v>
      </c>
    </row>
    <row r="247" spans="1:26" s="141" customFormat="1" x14ac:dyDescent="0.25">
      <c r="A247" s="186">
        <v>25.4</v>
      </c>
      <c r="B247" s="165" t="s">
        <v>410</v>
      </c>
      <c r="C247" s="110">
        <v>5235020</v>
      </c>
      <c r="D247" s="265" t="s">
        <v>181</v>
      </c>
      <c r="E247" s="114"/>
      <c r="F247" s="110">
        <v>796</v>
      </c>
      <c r="G247" s="81" t="s">
        <v>17</v>
      </c>
      <c r="H247" s="81">
        <v>2</v>
      </c>
      <c r="I247" s="151">
        <v>98401</v>
      </c>
      <c r="J247" s="83" t="s">
        <v>429</v>
      </c>
      <c r="K247" s="83">
        <v>500000</v>
      </c>
      <c r="L247" s="246" t="str">
        <f t="shared" si="36"/>
        <v>3 квартал 2012</v>
      </c>
      <c r="M247" s="249"/>
      <c r="N247" s="255"/>
      <c r="O247" s="83"/>
      <c r="P247" s="83"/>
      <c r="Q247" s="83"/>
      <c r="R247" s="83"/>
      <c r="S247" s="83"/>
      <c r="T247" s="83">
        <v>2</v>
      </c>
      <c r="U247" s="83">
        <v>500000</v>
      </c>
      <c r="V247" s="83"/>
      <c r="W247" s="83"/>
      <c r="X247" s="167"/>
      <c r="Z247" s="237">
        <f t="shared" si="29"/>
        <v>0</v>
      </c>
    </row>
    <row r="248" spans="1:26" s="141" customFormat="1" x14ac:dyDescent="0.25">
      <c r="A248" s="186">
        <v>25.5</v>
      </c>
      <c r="B248" s="165" t="s">
        <v>410</v>
      </c>
      <c r="C248" s="110">
        <v>5235020</v>
      </c>
      <c r="D248" s="265" t="s">
        <v>182</v>
      </c>
      <c r="E248" s="114"/>
      <c r="F248" s="110">
        <v>796</v>
      </c>
      <c r="G248" s="81" t="s">
        <v>17</v>
      </c>
      <c r="H248" s="81">
        <v>2</v>
      </c>
      <c r="I248" s="151">
        <v>98401</v>
      </c>
      <c r="J248" s="83" t="s">
        <v>429</v>
      </c>
      <c r="K248" s="83">
        <v>120980</v>
      </c>
      <c r="L248" s="246" t="str">
        <f t="shared" si="36"/>
        <v>1 квартал 2012</v>
      </c>
      <c r="M248" s="249"/>
      <c r="N248" s="255"/>
      <c r="O248" s="83"/>
      <c r="P248" s="83">
        <v>2</v>
      </c>
      <c r="Q248" s="83">
        <v>16000</v>
      </c>
      <c r="R248" s="83"/>
      <c r="S248" s="83"/>
      <c r="T248" s="83">
        <v>2</v>
      </c>
      <c r="U248" s="83">
        <v>33980</v>
      </c>
      <c r="V248" s="83">
        <v>5</v>
      </c>
      <c r="W248" s="83">
        <v>71000</v>
      </c>
      <c r="X248" s="167"/>
      <c r="Z248" s="237">
        <f t="shared" si="29"/>
        <v>0</v>
      </c>
    </row>
    <row r="249" spans="1:26" s="141" customFormat="1" x14ac:dyDescent="0.25">
      <c r="A249" s="186">
        <v>25.6</v>
      </c>
      <c r="B249" s="165" t="s">
        <v>410</v>
      </c>
      <c r="C249" s="110">
        <v>5235020</v>
      </c>
      <c r="D249" s="265" t="s">
        <v>183</v>
      </c>
      <c r="E249" s="114"/>
      <c r="F249" s="110">
        <v>796</v>
      </c>
      <c r="G249" s="81" t="s">
        <v>17</v>
      </c>
      <c r="H249" s="81">
        <v>7</v>
      </c>
      <c r="I249" s="151">
        <v>98401</v>
      </c>
      <c r="J249" s="83" t="s">
        <v>429</v>
      </c>
      <c r="K249" s="83">
        <v>169190</v>
      </c>
      <c r="L249" s="246" t="str">
        <f t="shared" si="36"/>
        <v>1 квартал 2012</v>
      </c>
      <c r="M249" s="249"/>
      <c r="N249" s="255"/>
      <c r="O249" s="83"/>
      <c r="P249" s="83">
        <v>2</v>
      </c>
      <c r="Q249" s="83">
        <v>40000</v>
      </c>
      <c r="R249" s="83">
        <v>5</v>
      </c>
      <c r="S249" s="83">
        <v>100000</v>
      </c>
      <c r="T249" s="83">
        <v>1</v>
      </c>
      <c r="U249" s="83">
        <v>9190</v>
      </c>
      <c r="V249" s="83">
        <v>1</v>
      </c>
      <c r="W249" s="83">
        <v>20000</v>
      </c>
      <c r="X249" s="167"/>
      <c r="Z249" s="237">
        <f t="shared" si="29"/>
        <v>0</v>
      </c>
    </row>
    <row r="250" spans="1:26" s="141" customFormat="1" x14ac:dyDescent="0.25">
      <c r="A250" s="186">
        <v>25.7</v>
      </c>
      <c r="B250" s="165" t="s">
        <v>410</v>
      </c>
      <c r="C250" s="110">
        <v>5235020</v>
      </c>
      <c r="D250" s="265" t="s">
        <v>184</v>
      </c>
      <c r="E250" s="114"/>
      <c r="F250" s="110">
        <v>796</v>
      </c>
      <c r="G250" s="81" t="s">
        <v>17</v>
      </c>
      <c r="H250" s="81">
        <v>4</v>
      </c>
      <c r="I250" s="151">
        <v>98401</v>
      </c>
      <c r="J250" s="83" t="s">
        <v>429</v>
      </c>
      <c r="K250" s="83">
        <v>600000</v>
      </c>
      <c r="L250" s="246" t="str">
        <f t="shared" si="36"/>
        <v>2 квартал 2012</v>
      </c>
      <c r="M250" s="249"/>
      <c r="N250" s="255"/>
      <c r="O250" s="83"/>
      <c r="P250" s="191"/>
      <c r="Q250" s="191"/>
      <c r="R250" s="83">
        <v>1</v>
      </c>
      <c r="S250" s="83">
        <v>50000</v>
      </c>
      <c r="T250" s="83">
        <v>1</v>
      </c>
      <c r="U250" s="83">
        <v>50000</v>
      </c>
      <c r="V250" s="83">
        <v>2</v>
      </c>
      <c r="W250" s="83">
        <v>500000</v>
      </c>
      <c r="X250" s="167"/>
      <c r="Z250" s="237">
        <f t="shared" si="29"/>
        <v>0</v>
      </c>
    </row>
    <row r="251" spans="1:26" s="141" customFormat="1" x14ac:dyDescent="0.25">
      <c r="A251" s="186">
        <v>25.8</v>
      </c>
      <c r="B251" s="165" t="s">
        <v>410</v>
      </c>
      <c r="C251" s="110">
        <v>5235020</v>
      </c>
      <c r="D251" s="265" t="s">
        <v>185</v>
      </c>
      <c r="E251" s="114"/>
      <c r="F251" s="110">
        <v>796</v>
      </c>
      <c r="G251" s="81" t="s">
        <v>17</v>
      </c>
      <c r="H251" s="81">
        <v>2</v>
      </c>
      <c r="I251" s="151">
        <v>98401</v>
      </c>
      <c r="J251" s="83" t="s">
        <v>429</v>
      </c>
      <c r="K251" s="83">
        <v>365000</v>
      </c>
      <c r="L251" s="246" t="str">
        <f t="shared" si="36"/>
        <v>2 квартал 2012</v>
      </c>
      <c r="M251" s="249"/>
      <c r="N251" s="255"/>
      <c r="O251" s="83"/>
      <c r="P251" s="83"/>
      <c r="Q251" s="83"/>
      <c r="R251" s="83">
        <v>1</v>
      </c>
      <c r="S251" s="83">
        <v>70000</v>
      </c>
      <c r="T251" s="83">
        <v>1</v>
      </c>
      <c r="U251" s="83">
        <v>100000</v>
      </c>
      <c r="V251" s="83">
        <v>3</v>
      </c>
      <c r="W251" s="83">
        <v>195000</v>
      </c>
      <c r="X251" s="167"/>
      <c r="Z251" s="237">
        <f t="shared" si="29"/>
        <v>0</v>
      </c>
    </row>
    <row r="252" spans="1:26" s="141" customFormat="1" x14ac:dyDescent="0.25">
      <c r="A252" s="186">
        <v>25.9</v>
      </c>
      <c r="B252" s="165" t="s">
        <v>410</v>
      </c>
      <c r="C252" s="110">
        <v>5235020</v>
      </c>
      <c r="D252" s="265" t="s">
        <v>186</v>
      </c>
      <c r="E252" s="114"/>
      <c r="F252" s="110">
        <v>796</v>
      </c>
      <c r="G252" s="81" t="s">
        <v>17</v>
      </c>
      <c r="H252" s="81">
        <v>6</v>
      </c>
      <c r="I252" s="151">
        <v>98401</v>
      </c>
      <c r="J252" s="83" t="s">
        <v>429</v>
      </c>
      <c r="K252" s="83">
        <v>138910</v>
      </c>
      <c r="L252" s="246" t="str">
        <f t="shared" si="36"/>
        <v>2 квартал 2012</v>
      </c>
      <c r="M252" s="249"/>
      <c r="N252" s="255"/>
      <c r="O252" s="83"/>
      <c r="P252" s="83"/>
      <c r="Q252" s="83"/>
      <c r="R252" s="83">
        <v>2</v>
      </c>
      <c r="S252" s="83">
        <v>30000</v>
      </c>
      <c r="T252" s="83">
        <v>5</v>
      </c>
      <c r="U252" s="83">
        <v>51910</v>
      </c>
      <c r="V252" s="83">
        <v>3</v>
      </c>
      <c r="W252" s="83">
        <v>57000</v>
      </c>
      <c r="X252" s="167"/>
      <c r="Z252" s="237">
        <f t="shared" si="29"/>
        <v>0</v>
      </c>
    </row>
    <row r="253" spans="1:26" s="141" customFormat="1" x14ac:dyDescent="0.25">
      <c r="A253" s="186">
        <v>25.1</v>
      </c>
      <c r="B253" s="165" t="s">
        <v>410</v>
      </c>
      <c r="C253" s="110">
        <v>5235020</v>
      </c>
      <c r="D253" s="265" t="s">
        <v>187</v>
      </c>
      <c r="E253" s="114"/>
      <c r="F253" s="110">
        <v>796</v>
      </c>
      <c r="G253" s="81" t="s">
        <v>17</v>
      </c>
      <c r="H253" s="81">
        <v>1</v>
      </c>
      <c r="I253" s="151">
        <v>98401</v>
      </c>
      <c r="J253" s="83" t="s">
        <v>429</v>
      </c>
      <c r="K253" s="83">
        <v>130000</v>
      </c>
      <c r="L253" s="246" t="str">
        <f t="shared" si="36"/>
        <v>3 квартал 2012</v>
      </c>
      <c r="M253" s="249"/>
      <c r="N253" s="255"/>
      <c r="O253" s="83"/>
      <c r="P253" s="83"/>
      <c r="Q253" s="83"/>
      <c r="R253" s="83"/>
      <c r="S253" s="83"/>
      <c r="T253" s="83">
        <v>1</v>
      </c>
      <c r="U253" s="83">
        <v>65000</v>
      </c>
      <c r="V253" s="83">
        <v>1</v>
      </c>
      <c r="W253" s="83">
        <v>65000</v>
      </c>
      <c r="X253" s="81"/>
      <c r="Z253" s="237">
        <f t="shared" si="29"/>
        <v>0</v>
      </c>
    </row>
    <row r="254" spans="1:26" s="141" customFormat="1" x14ac:dyDescent="0.25">
      <c r="A254" s="186">
        <v>25.11</v>
      </c>
      <c r="B254" s="165" t="s">
        <v>410</v>
      </c>
      <c r="C254" s="110">
        <v>5235020</v>
      </c>
      <c r="D254" s="265" t="s">
        <v>188</v>
      </c>
      <c r="E254" s="114"/>
      <c r="F254" s="110">
        <v>796</v>
      </c>
      <c r="G254" s="81" t="s">
        <v>17</v>
      </c>
      <c r="H254" s="81">
        <v>3</v>
      </c>
      <c r="I254" s="151">
        <v>98401</v>
      </c>
      <c r="J254" s="83" t="s">
        <v>429</v>
      </c>
      <c r="K254" s="83">
        <v>15000</v>
      </c>
      <c r="L254" s="246" t="str">
        <f t="shared" si="36"/>
        <v>1 квартал 2012</v>
      </c>
      <c r="M254" s="249"/>
      <c r="N254" s="255"/>
      <c r="O254" s="83"/>
      <c r="P254" s="83">
        <v>1</v>
      </c>
      <c r="Q254" s="83">
        <v>5000</v>
      </c>
      <c r="R254" s="83">
        <v>1</v>
      </c>
      <c r="S254" s="83">
        <v>5000</v>
      </c>
      <c r="T254" s="83">
        <v>1</v>
      </c>
      <c r="U254" s="83">
        <v>5000</v>
      </c>
      <c r="V254" s="83"/>
      <c r="W254" s="83"/>
      <c r="X254" s="167"/>
      <c r="Z254" s="237">
        <f t="shared" si="29"/>
        <v>0</v>
      </c>
    </row>
    <row r="255" spans="1:26" s="141" customFormat="1" x14ac:dyDescent="0.25">
      <c r="A255" s="186">
        <v>25.12</v>
      </c>
      <c r="B255" s="165" t="s">
        <v>410</v>
      </c>
      <c r="C255" s="110">
        <v>5235020</v>
      </c>
      <c r="D255" s="265" t="s">
        <v>189</v>
      </c>
      <c r="E255" s="114"/>
      <c r="F255" s="110">
        <v>796</v>
      </c>
      <c r="G255" s="81" t="s">
        <v>17</v>
      </c>
      <c r="H255" s="81">
        <v>11</v>
      </c>
      <c r="I255" s="151">
        <v>98401</v>
      </c>
      <c r="J255" s="83" t="s">
        <v>429</v>
      </c>
      <c r="K255" s="83">
        <v>275000</v>
      </c>
      <c r="L255" s="246" t="str">
        <f t="shared" si="36"/>
        <v>3 квартал 2012</v>
      </c>
      <c r="M255" s="249"/>
      <c r="N255" s="255"/>
      <c r="O255" s="83"/>
      <c r="P255" s="83"/>
      <c r="Q255" s="83"/>
      <c r="R255" s="83"/>
      <c r="S255" s="83"/>
      <c r="T255" s="83">
        <v>11</v>
      </c>
      <c r="U255" s="83">
        <v>55000</v>
      </c>
      <c r="V255" s="83">
        <v>4</v>
      </c>
      <c r="W255" s="83">
        <v>220000</v>
      </c>
      <c r="X255" s="167"/>
      <c r="Z255" s="237">
        <f t="shared" si="29"/>
        <v>0</v>
      </c>
    </row>
    <row r="256" spans="1:26" s="141" customFormat="1" x14ac:dyDescent="0.25">
      <c r="A256" s="186">
        <v>25.13</v>
      </c>
      <c r="B256" s="165" t="s">
        <v>410</v>
      </c>
      <c r="C256" s="110">
        <v>5235020</v>
      </c>
      <c r="D256" s="265" t="s">
        <v>190</v>
      </c>
      <c r="E256" s="114"/>
      <c r="F256" s="110">
        <v>796</v>
      </c>
      <c r="G256" s="81" t="s">
        <v>17</v>
      </c>
      <c r="H256" s="81">
        <v>55</v>
      </c>
      <c r="I256" s="151">
        <v>98401</v>
      </c>
      <c r="J256" s="83" t="s">
        <v>429</v>
      </c>
      <c r="K256" s="83">
        <v>27500</v>
      </c>
      <c r="L256" s="246" t="str">
        <f t="shared" si="36"/>
        <v>1 квартал 2012</v>
      </c>
      <c r="M256" s="249"/>
      <c r="N256" s="255"/>
      <c r="O256" s="83"/>
      <c r="P256" s="83">
        <v>13</v>
      </c>
      <c r="Q256" s="83">
        <v>6500</v>
      </c>
      <c r="R256" s="83">
        <v>14</v>
      </c>
      <c r="S256" s="83">
        <v>7000</v>
      </c>
      <c r="T256" s="83">
        <v>14</v>
      </c>
      <c r="U256" s="83">
        <v>7000</v>
      </c>
      <c r="V256" s="83">
        <v>14</v>
      </c>
      <c r="W256" s="83">
        <v>7000</v>
      </c>
      <c r="X256" s="167"/>
      <c r="Z256" s="237">
        <f t="shared" si="29"/>
        <v>0</v>
      </c>
    </row>
    <row r="257" spans="1:26" s="141" customFormat="1" x14ac:dyDescent="0.25">
      <c r="A257" s="186">
        <v>25.14</v>
      </c>
      <c r="B257" s="165" t="s">
        <v>410</v>
      </c>
      <c r="C257" s="110">
        <v>5235020</v>
      </c>
      <c r="D257" s="265" t="s">
        <v>191</v>
      </c>
      <c r="E257" s="114"/>
      <c r="F257" s="110">
        <v>796</v>
      </c>
      <c r="G257" s="81" t="s">
        <v>17</v>
      </c>
      <c r="H257" s="81">
        <v>65</v>
      </c>
      <c r="I257" s="151">
        <v>98401</v>
      </c>
      <c r="J257" s="83" t="s">
        <v>429</v>
      </c>
      <c r="K257" s="83">
        <v>19500</v>
      </c>
      <c r="L257" s="246" t="str">
        <f t="shared" si="36"/>
        <v>1 квартал 2012</v>
      </c>
      <c r="M257" s="249"/>
      <c r="N257" s="255"/>
      <c r="O257" s="83"/>
      <c r="P257" s="83">
        <v>16</v>
      </c>
      <c r="Q257" s="83">
        <v>4800</v>
      </c>
      <c r="R257" s="83">
        <v>16</v>
      </c>
      <c r="S257" s="83">
        <v>4800</v>
      </c>
      <c r="T257" s="83">
        <v>16</v>
      </c>
      <c r="U257" s="83">
        <v>4800</v>
      </c>
      <c r="V257" s="83">
        <v>17</v>
      </c>
      <c r="W257" s="83">
        <v>5100</v>
      </c>
      <c r="X257" s="167"/>
      <c r="Z257" s="237">
        <f t="shared" si="29"/>
        <v>0</v>
      </c>
    </row>
    <row r="258" spans="1:26" s="141" customFormat="1" x14ac:dyDescent="0.25">
      <c r="A258" s="186">
        <v>25.15</v>
      </c>
      <c r="B258" s="165" t="s">
        <v>410</v>
      </c>
      <c r="C258" s="110">
        <v>5235020</v>
      </c>
      <c r="D258" s="265" t="s">
        <v>192</v>
      </c>
      <c r="E258" s="114"/>
      <c r="F258" s="110">
        <v>796</v>
      </c>
      <c r="G258" s="81" t="s">
        <v>17</v>
      </c>
      <c r="H258" s="81">
        <v>2</v>
      </c>
      <c r="I258" s="151">
        <v>98401</v>
      </c>
      <c r="J258" s="83" t="s">
        <v>429</v>
      </c>
      <c r="K258" s="83">
        <v>40000</v>
      </c>
      <c r="L258" s="246" t="str">
        <f t="shared" si="36"/>
        <v>3 квартал 2012</v>
      </c>
      <c r="M258" s="249"/>
      <c r="N258" s="255"/>
      <c r="O258" s="83"/>
      <c r="P258" s="83"/>
      <c r="Q258" s="83"/>
      <c r="R258" s="83"/>
      <c r="S258" s="83"/>
      <c r="T258" s="83">
        <v>2</v>
      </c>
      <c r="U258" s="83">
        <v>40000</v>
      </c>
      <c r="V258" s="83"/>
      <c r="W258" s="83"/>
      <c r="X258" s="167"/>
      <c r="Z258" s="237">
        <f t="shared" si="29"/>
        <v>0</v>
      </c>
    </row>
    <row r="259" spans="1:26" s="141" customFormat="1" x14ac:dyDescent="0.25">
      <c r="A259" s="186">
        <v>25.16</v>
      </c>
      <c r="B259" s="165" t="s">
        <v>410</v>
      </c>
      <c r="C259" s="110">
        <v>5235020</v>
      </c>
      <c r="D259" s="265" t="s">
        <v>193</v>
      </c>
      <c r="E259" s="114"/>
      <c r="F259" s="110">
        <v>796</v>
      </c>
      <c r="G259" s="81" t="s">
        <v>17</v>
      </c>
      <c r="H259" s="81">
        <v>85</v>
      </c>
      <c r="I259" s="151">
        <v>98401</v>
      </c>
      <c r="J259" s="83" t="s">
        <v>429</v>
      </c>
      <c r="K259" s="83">
        <v>76500</v>
      </c>
      <c r="L259" s="246" t="str">
        <f t="shared" si="36"/>
        <v>1 квартал 2012</v>
      </c>
      <c r="M259" s="249"/>
      <c r="N259" s="255"/>
      <c r="O259" s="83"/>
      <c r="P259" s="83">
        <v>21</v>
      </c>
      <c r="Q259" s="83">
        <v>18900</v>
      </c>
      <c r="R259" s="83">
        <v>21</v>
      </c>
      <c r="S259" s="83">
        <v>18900</v>
      </c>
      <c r="T259" s="83">
        <v>21</v>
      </c>
      <c r="U259" s="83">
        <v>18900</v>
      </c>
      <c r="V259" s="83">
        <v>22</v>
      </c>
      <c r="W259" s="83">
        <v>19800</v>
      </c>
      <c r="X259" s="167"/>
      <c r="Z259" s="237">
        <f t="shared" si="29"/>
        <v>0</v>
      </c>
    </row>
    <row r="260" spans="1:26" s="141" customFormat="1" x14ac:dyDescent="0.25">
      <c r="A260" s="186">
        <v>25.17</v>
      </c>
      <c r="B260" s="165" t="s">
        <v>410</v>
      </c>
      <c r="C260" s="110">
        <v>5235020</v>
      </c>
      <c r="D260" s="265" t="s">
        <v>194</v>
      </c>
      <c r="E260" s="114"/>
      <c r="F260" s="110">
        <v>796</v>
      </c>
      <c r="G260" s="81" t="s">
        <v>17</v>
      </c>
      <c r="H260" s="81">
        <v>3</v>
      </c>
      <c r="I260" s="151">
        <v>98401</v>
      </c>
      <c r="J260" s="83" t="s">
        <v>429</v>
      </c>
      <c r="K260" s="83">
        <v>21000</v>
      </c>
      <c r="L260" s="246" t="str">
        <f t="shared" si="36"/>
        <v>1 квартал 2012</v>
      </c>
      <c r="M260" s="249"/>
      <c r="N260" s="255"/>
      <c r="O260" s="83"/>
      <c r="P260" s="83">
        <v>1</v>
      </c>
      <c r="Q260" s="83">
        <v>7000</v>
      </c>
      <c r="R260" s="83">
        <v>1</v>
      </c>
      <c r="S260" s="83">
        <v>7000</v>
      </c>
      <c r="T260" s="83">
        <v>1</v>
      </c>
      <c r="U260" s="83">
        <v>7000</v>
      </c>
      <c r="V260" s="83"/>
      <c r="W260" s="83"/>
      <c r="X260" s="167"/>
      <c r="Z260" s="237">
        <f t="shared" si="29"/>
        <v>0</v>
      </c>
    </row>
    <row r="261" spans="1:26" s="141" customFormat="1" x14ac:dyDescent="0.25">
      <c r="A261" s="186">
        <v>25.18</v>
      </c>
      <c r="B261" s="165" t="s">
        <v>410</v>
      </c>
      <c r="C261" s="110">
        <v>5235020</v>
      </c>
      <c r="D261" s="265" t="s">
        <v>195</v>
      </c>
      <c r="E261" s="114"/>
      <c r="F261" s="110">
        <v>796</v>
      </c>
      <c r="G261" s="81" t="s">
        <v>17</v>
      </c>
      <c r="H261" s="81">
        <v>1</v>
      </c>
      <c r="I261" s="151">
        <v>98401</v>
      </c>
      <c r="J261" s="83" t="s">
        <v>429</v>
      </c>
      <c r="K261" s="83">
        <v>20000</v>
      </c>
      <c r="L261" s="246" t="str">
        <f t="shared" si="36"/>
        <v>4 квартал 2012</v>
      </c>
      <c r="M261" s="245">
        <v>41244</v>
      </c>
      <c r="N261" s="255"/>
      <c r="O261" s="83"/>
      <c r="P261" s="83"/>
      <c r="Q261" s="83"/>
      <c r="R261" s="83"/>
      <c r="S261" s="83"/>
      <c r="T261" s="83"/>
      <c r="U261" s="83"/>
      <c r="V261" s="83">
        <v>1</v>
      </c>
      <c r="W261" s="83">
        <v>20000</v>
      </c>
      <c r="X261" s="167"/>
      <c r="Z261" s="237">
        <f t="shared" si="29"/>
        <v>0</v>
      </c>
    </row>
    <row r="262" spans="1:26" s="141" customFormat="1" x14ac:dyDescent="0.25">
      <c r="A262" s="186">
        <v>25.19</v>
      </c>
      <c r="B262" s="165" t="s">
        <v>410</v>
      </c>
      <c r="C262" s="110">
        <v>5235020</v>
      </c>
      <c r="D262" s="265" t="s">
        <v>196</v>
      </c>
      <c r="E262" s="114"/>
      <c r="F262" s="110">
        <v>796</v>
      </c>
      <c r="G262" s="81" t="s">
        <v>17</v>
      </c>
      <c r="H262" s="81">
        <v>20</v>
      </c>
      <c r="I262" s="151">
        <v>98401</v>
      </c>
      <c r="J262" s="83" t="s">
        <v>429</v>
      </c>
      <c r="K262" s="83">
        <v>1242360</v>
      </c>
      <c r="L262" s="246" t="str">
        <f t="shared" si="36"/>
        <v>1 квартал 2012</v>
      </c>
      <c r="M262" s="249"/>
      <c r="N262" s="255"/>
      <c r="O262" s="83"/>
      <c r="P262" s="83">
        <v>5</v>
      </c>
      <c r="Q262" s="83">
        <v>160000</v>
      </c>
      <c r="R262" s="83"/>
      <c r="S262" s="83"/>
      <c r="T262" s="83">
        <v>11</v>
      </c>
      <c r="U262" s="83">
        <v>362360</v>
      </c>
      <c r="V262" s="83">
        <v>19</v>
      </c>
      <c r="W262" s="83">
        <v>720000</v>
      </c>
      <c r="X262" s="167"/>
      <c r="Z262" s="237">
        <f t="shared" si="29"/>
        <v>0</v>
      </c>
    </row>
    <row r="263" spans="1:26" s="141" customFormat="1" x14ac:dyDescent="0.25">
      <c r="A263" s="186">
        <v>25.2</v>
      </c>
      <c r="B263" s="165" t="s">
        <v>410</v>
      </c>
      <c r="C263" s="110">
        <v>5235020</v>
      </c>
      <c r="D263" s="265" t="s">
        <v>197</v>
      </c>
      <c r="E263" s="114"/>
      <c r="F263" s="110">
        <v>796</v>
      </c>
      <c r="G263" s="81" t="s">
        <v>17</v>
      </c>
      <c r="H263" s="81">
        <v>20</v>
      </c>
      <c r="I263" s="151">
        <v>98401</v>
      </c>
      <c r="J263" s="83" t="s">
        <v>429</v>
      </c>
      <c r="K263" s="83">
        <v>80000</v>
      </c>
      <c r="L263" s="246" t="str">
        <f t="shared" si="36"/>
        <v>1 квартал 2012</v>
      </c>
      <c r="M263" s="249"/>
      <c r="N263" s="255"/>
      <c r="O263" s="83"/>
      <c r="P263" s="83">
        <v>5</v>
      </c>
      <c r="Q263" s="83">
        <v>20000</v>
      </c>
      <c r="R263" s="191">
        <v>5</v>
      </c>
      <c r="S263" s="83">
        <v>20000</v>
      </c>
      <c r="T263" s="83">
        <v>5</v>
      </c>
      <c r="U263" s="83">
        <v>20000</v>
      </c>
      <c r="V263" s="83">
        <v>5</v>
      </c>
      <c r="W263" s="83">
        <v>20000</v>
      </c>
      <c r="X263" s="167"/>
      <c r="Z263" s="237">
        <f t="shared" si="29"/>
        <v>0</v>
      </c>
    </row>
    <row r="264" spans="1:26" s="141" customFormat="1" x14ac:dyDescent="0.25">
      <c r="A264" s="186">
        <v>25.21</v>
      </c>
      <c r="B264" s="165" t="s">
        <v>410</v>
      </c>
      <c r="C264" s="110">
        <v>5235020</v>
      </c>
      <c r="D264" s="265" t="s">
        <v>198</v>
      </c>
      <c r="E264" s="114"/>
      <c r="F264" s="110">
        <v>796</v>
      </c>
      <c r="G264" s="81" t="s">
        <v>17</v>
      </c>
      <c r="H264" s="81">
        <v>4</v>
      </c>
      <c r="I264" s="151">
        <v>98401</v>
      </c>
      <c r="J264" s="83" t="s">
        <v>429</v>
      </c>
      <c r="K264" s="83">
        <v>8000</v>
      </c>
      <c r="L264" s="246" t="str">
        <f t="shared" si="36"/>
        <v>1 квартал 2012</v>
      </c>
      <c r="M264" s="249"/>
      <c r="N264" s="255"/>
      <c r="O264" s="83"/>
      <c r="P264" s="83">
        <v>1</v>
      </c>
      <c r="Q264" s="83">
        <v>2000</v>
      </c>
      <c r="R264" s="191">
        <v>1</v>
      </c>
      <c r="S264" s="83">
        <v>2000</v>
      </c>
      <c r="T264" s="83">
        <v>1</v>
      </c>
      <c r="U264" s="83">
        <v>2000</v>
      </c>
      <c r="V264" s="83">
        <v>1</v>
      </c>
      <c r="W264" s="83">
        <v>2000</v>
      </c>
      <c r="X264" s="167"/>
      <c r="Z264" s="237">
        <f t="shared" si="29"/>
        <v>0</v>
      </c>
    </row>
    <row r="265" spans="1:26" s="141" customFormat="1" x14ac:dyDescent="0.25">
      <c r="A265" s="186">
        <v>25.22</v>
      </c>
      <c r="B265" s="165" t="s">
        <v>410</v>
      </c>
      <c r="C265" s="110">
        <v>5235020</v>
      </c>
      <c r="D265" s="265" t="s">
        <v>199</v>
      </c>
      <c r="E265" s="114"/>
      <c r="F265" s="110">
        <v>796</v>
      </c>
      <c r="G265" s="81" t="s">
        <v>17</v>
      </c>
      <c r="H265" s="81">
        <v>700</v>
      </c>
      <c r="I265" s="151">
        <v>98401</v>
      </c>
      <c r="J265" s="83" t="s">
        <v>429</v>
      </c>
      <c r="K265" s="83">
        <v>1400000</v>
      </c>
      <c r="L265" s="246" t="str">
        <f t="shared" si="36"/>
        <v>1 квартал 2012</v>
      </c>
      <c r="M265" s="249"/>
      <c r="N265" s="255"/>
      <c r="O265" s="83"/>
      <c r="P265" s="83">
        <v>175</v>
      </c>
      <c r="Q265" s="83">
        <v>350000</v>
      </c>
      <c r="R265" s="83">
        <v>175</v>
      </c>
      <c r="S265" s="83">
        <v>350000</v>
      </c>
      <c r="T265" s="83">
        <v>175</v>
      </c>
      <c r="U265" s="83">
        <v>350000</v>
      </c>
      <c r="V265" s="83">
        <v>175</v>
      </c>
      <c r="W265" s="83">
        <v>350000</v>
      </c>
      <c r="X265" s="167"/>
      <c r="Z265" s="237">
        <f t="shared" si="29"/>
        <v>0</v>
      </c>
    </row>
    <row r="266" spans="1:26" s="141" customFormat="1" ht="24.75" x14ac:dyDescent="0.25">
      <c r="A266" s="186">
        <v>25.23</v>
      </c>
      <c r="B266" s="165" t="s">
        <v>410</v>
      </c>
      <c r="C266" s="110">
        <v>5235020</v>
      </c>
      <c r="D266" s="265" t="s">
        <v>200</v>
      </c>
      <c r="E266" s="114"/>
      <c r="F266" s="110">
        <v>796</v>
      </c>
      <c r="G266" s="81" t="s">
        <v>17</v>
      </c>
      <c r="H266" s="81">
        <v>35</v>
      </c>
      <c r="I266" s="151">
        <v>98401</v>
      </c>
      <c r="J266" s="83" t="s">
        <v>429</v>
      </c>
      <c r="K266" s="83">
        <v>70000</v>
      </c>
      <c r="L266" s="246" t="str">
        <f t="shared" si="36"/>
        <v>2 квартал 2012</v>
      </c>
      <c r="M266" s="249"/>
      <c r="N266" s="255"/>
      <c r="O266" s="83"/>
      <c r="P266" s="83"/>
      <c r="Q266" s="83"/>
      <c r="R266" s="191">
        <v>35</v>
      </c>
      <c r="S266" s="83">
        <v>70000</v>
      </c>
      <c r="T266" s="83"/>
      <c r="U266" s="83"/>
      <c r="V266" s="83"/>
      <c r="W266" s="83"/>
      <c r="X266" s="167"/>
      <c r="Z266" s="237">
        <f t="shared" si="29"/>
        <v>0</v>
      </c>
    </row>
    <row r="267" spans="1:26" s="141" customFormat="1" x14ac:dyDescent="0.25">
      <c r="A267" s="186">
        <v>25.24</v>
      </c>
      <c r="B267" s="165" t="s">
        <v>410</v>
      </c>
      <c r="C267" s="110">
        <v>5235020</v>
      </c>
      <c r="D267" s="265" t="s">
        <v>201</v>
      </c>
      <c r="E267" s="114"/>
      <c r="F267" s="110">
        <v>796</v>
      </c>
      <c r="G267" s="81" t="s">
        <v>17</v>
      </c>
      <c r="H267" s="81">
        <v>21</v>
      </c>
      <c r="I267" s="151">
        <v>98401</v>
      </c>
      <c r="J267" s="83" t="s">
        <v>429</v>
      </c>
      <c r="K267" s="83">
        <v>2068370</v>
      </c>
      <c r="L267" s="246" t="str">
        <f t="shared" si="36"/>
        <v>3 квартал 2012</v>
      </c>
      <c r="M267" s="249"/>
      <c r="N267" s="255"/>
      <c r="O267" s="83"/>
      <c r="P267" s="83"/>
      <c r="Q267" s="83"/>
      <c r="R267" s="191"/>
      <c r="S267" s="83"/>
      <c r="T267" s="83">
        <v>20</v>
      </c>
      <c r="U267" s="83">
        <v>568370</v>
      </c>
      <c r="V267" s="83">
        <v>1</v>
      </c>
      <c r="W267" s="83">
        <v>1500000</v>
      </c>
      <c r="X267" s="167"/>
      <c r="Z267" s="237">
        <f t="shared" si="29"/>
        <v>0</v>
      </c>
    </row>
    <row r="268" spans="1:26" s="141" customFormat="1" x14ac:dyDescent="0.25">
      <c r="A268" s="186">
        <v>25.25</v>
      </c>
      <c r="B268" s="165" t="s">
        <v>410</v>
      </c>
      <c r="C268" s="110">
        <v>5235020</v>
      </c>
      <c r="D268" s="265" t="s">
        <v>202</v>
      </c>
      <c r="E268" s="114"/>
      <c r="F268" s="110">
        <v>796</v>
      </c>
      <c r="G268" s="81" t="s">
        <v>17</v>
      </c>
      <c r="H268" s="81">
        <v>4</v>
      </c>
      <c r="I268" s="151">
        <v>98401</v>
      </c>
      <c r="J268" s="83" t="s">
        <v>429</v>
      </c>
      <c r="K268" s="83">
        <v>14000</v>
      </c>
      <c r="L268" s="246" t="str">
        <f t="shared" si="36"/>
        <v>3 квартал 2012</v>
      </c>
      <c r="M268" s="249"/>
      <c r="N268" s="255"/>
      <c r="O268" s="83"/>
      <c r="P268" s="83"/>
      <c r="Q268" s="83"/>
      <c r="R268" s="191"/>
      <c r="S268" s="83"/>
      <c r="T268" s="83">
        <v>4</v>
      </c>
      <c r="U268" s="83">
        <v>14000</v>
      </c>
      <c r="V268" s="83"/>
      <c r="W268" s="83"/>
      <c r="X268" s="167"/>
      <c r="Z268" s="237">
        <f t="shared" si="29"/>
        <v>0</v>
      </c>
    </row>
    <row r="269" spans="1:26" s="141" customFormat="1" x14ac:dyDescent="0.25">
      <c r="A269" s="186">
        <v>25.26</v>
      </c>
      <c r="B269" s="165" t="s">
        <v>410</v>
      </c>
      <c r="C269" s="110">
        <v>5235020</v>
      </c>
      <c r="D269" s="265" t="s">
        <v>203</v>
      </c>
      <c r="E269" s="114"/>
      <c r="F269" s="110">
        <v>796</v>
      </c>
      <c r="G269" s="81" t="s">
        <v>17</v>
      </c>
      <c r="H269" s="81">
        <v>1</v>
      </c>
      <c r="I269" s="151">
        <v>98401</v>
      </c>
      <c r="J269" s="83" t="s">
        <v>429</v>
      </c>
      <c r="K269" s="83">
        <v>65000</v>
      </c>
      <c r="L269" s="246" t="str">
        <f t="shared" si="36"/>
        <v>3 квартал 2012</v>
      </c>
      <c r="M269" s="249"/>
      <c r="N269" s="255"/>
      <c r="O269" s="83"/>
      <c r="P269" s="83"/>
      <c r="Q269" s="83"/>
      <c r="R269" s="191"/>
      <c r="S269" s="83"/>
      <c r="T269" s="83">
        <v>1</v>
      </c>
      <c r="U269" s="83">
        <v>65000</v>
      </c>
      <c r="V269" s="83"/>
      <c r="W269" s="83"/>
      <c r="X269" s="167"/>
      <c r="Z269" s="237">
        <f t="shared" si="29"/>
        <v>0</v>
      </c>
    </row>
    <row r="270" spans="1:26" s="141" customFormat="1" x14ac:dyDescent="0.25">
      <c r="A270" s="186">
        <v>25.27</v>
      </c>
      <c r="B270" s="165" t="s">
        <v>410</v>
      </c>
      <c r="C270" s="110">
        <v>5235020</v>
      </c>
      <c r="D270" s="265" t="s">
        <v>204</v>
      </c>
      <c r="E270" s="114"/>
      <c r="F270" s="110">
        <v>796</v>
      </c>
      <c r="G270" s="81" t="s">
        <v>17</v>
      </c>
      <c r="H270" s="81">
        <v>1</v>
      </c>
      <c r="I270" s="151">
        <v>98401</v>
      </c>
      <c r="J270" s="83" t="s">
        <v>429</v>
      </c>
      <c r="K270" s="83">
        <v>5000</v>
      </c>
      <c r="L270" s="246" t="str">
        <f t="shared" si="36"/>
        <v>3 квартал 2012</v>
      </c>
      <c r="M270" s="249"/>
      <c r="N270" s="255"/>
      <c r="O270" s="83"/>
      <c r="P270" s="83"/>
      <c r="Q270" s="83"/>
      <c r="R270" s="191"/>
      <c r="S270" s="83"/>
      <c r="T270" s="83">
        <v>1</v>
      </c>
      <c r="U270" s="83">
        <v>5000</v>
      </c>
      <c r="V270" s="83"/>
      <c r="W270" s="83"/>
      <c r="X270" s="167"/>
      <c r="Z270" s="237">
        <f t="shared" si="29"/>
        <v>0</v>
      </c>
    </row>
    <row r="271" spans="1:26" s="141" customFormat="1" x14ac:dyDescent="0.25">
      <c r="A271" s="186">
        <v>25.28</v>
      </c>
      <c r="B271" s="165" t="s">
        <v>410</v>
      </c>
      <c r="C271" s="110">
        <v>5235020</v>
      </c>
      <c r="D271" s="265" t="s">
        <v>205</v>
      </c>
      <c r="E271" s="114"/>
      <c r="F271" s="110">
        <v>796</v>
      </c>
      <c r="G271" s="81" t="s">
        <v>17</v>
      </c>
      <c r="H271" s="81">
        <v>3</v>
      </c>
      <c r="I271" s="151">
        <v>98401</v>
      </c>
      <c r="J271" s="83" t="s">
        <v>429</v>
      </c>
      <c r="K271" s="83">
        <v>25170</v>
      </c>
      <c r="L271" s="246" t="str">
        <f t="shared" si="36"/>
        <v>3 квартал 2012</v>
      </c>
      <c r="M271" s="249"/>
      <c r="N271" s="255"/>
      <c r="O271" s="83"/>
      <c r="P271" s="83"/>
      <c r="Q271" s="83"/>
      <c r="R271" s="191"/>
      <c r="S271" s="83"/>
      <c r="T271" s="83">
        <v>3</v>
      </c>
      <c r="U271" s="83">
        <v>25170</v>
      </c>
      <c r="V271" s="83"/>
      <c r="W271" s="83"/>
      <c r="X271" s="167"/>
      <c r="Z271" s="237">
        <f t="shared" si="29"/>
        <v>0</v>
      </c>
    </row>
    <row r="272" spans="1:26" s="141" customFormat="1" x14ac:dyDescent="0.25">
      <c r="A272" s="186">
        <v>25.29</v>
      </c>
      <c r="B272" s="165" t="s">
        <v>410</v>
      </c>
      <c r="C272" s="110">
        <v>5235020</v>
      </c>
      <c r="D272" s="265" t="s">
        <v>206</v>
      </c>
      <c r="E272" s="114"/>
      <c r="F272" s="110">
        <v>796</v>
      </c>
      <c r="G272" s="81" t="s">
        <v>17</v>
      </c>
      <c r="H272" s="81">
        <v>1</v>
      </c>
      <c r="I272" s="151">
        <v>98401</v>
      </c>
      <c r="J272" s="83" t="s">
        <v>429</v>
      </c>
      <c r="K272" s="83">
        <v>25000</v>
      </c>
      <c r="L272" s="246" t="str">
        <f t="shared" si="36"/>
        <v>3 квартал 2012</v>
      </c>
      <c r="M272" s="249"/>
      <c r="N272" s="255"/>
      <c r="O272" s="83"/>
      <c r="P272" s="83"/>
      <c r="Q272" s="83"/>
      <c r="R272" s="191"/>
      <c r="S272" s="83"/>
      <c r="T272" s="83">
        <v>1</v>
      </c>
      <c r="U272" s="83">
        <v>25000</v>
      </c>
      <c r="V272" s="83"/>
      <c r="W272" s="83"/>
      <c r="X272" s="167"/>
      <c r="Z272" s="237">
        <f t="shared" si="29"/>
        <v>0</v>
      </c>
    </row>
    <row r="273" spans="1:26" s="141" customFormat="1" x14ac:dyDescent="0.25">
      <c r="A273" s="186">
        <v>25.3</v>
      </c>
      <c r="B273" s="165" t="s">
        <v>410</v>
      </c>
      <c r="C273" s="110">
        <v>5235020</v>
      </c>
      <c r="D273" s="265" t="s">
        <v>207</v>
      </c>
      <c r="E273" s="114"/>
      <c r="F273" s="110">
        <v>796</v>
      </c>
      <c r="G273" s="81" t="s">
        <v>17</v>
      </c>
      <c r="H273" s="81">
        <v>1</v>
      </c>
      <c r="I273" s="151">
        <v>98401</v>
      </c>
      <c r="J273" s="83" t="s">
        <v>429</v>
      </c>
      <c r="K273" s="83">
        <v>8000</v>
      </c>
      <c r="L273" s="246" t="str">
        <f t="shared" si="36"/>
        <v>3 квартал 2012</v>
      </c>
      <c r="M273" s="249"/>
      <c r="N273" s="255"/>
      <c r="O273" s="83"/>
      <c r="P273" s="83"/>
      <c r="Q273" s="83"/>
      <c r="R273" s="191"/>
      <c r="S273" s="83"/>
      <c r="T273" s="83">
        <v>1</v>
      </c>
      <c r="U273" s="83">
        <v>8000</v>
      </c>
      <c r="V273" s="83"/>
      <c r="W273" s="83"/>
      <c r="X273" s="167"/>
      <c r="Z273" s="237">
        <f t="shared" si="29"/>
        <v>0</v>
      </c>
    </row>
    <row r="274" spans="1:26" s="141" customFormat="1" x14ac:dyDescent="0.25">
      <c r="A274" s="186">
        <v>25.31</v>
      </c>
      <c r="B274" s="165" t="s">
        <v>426</v>
      </c>
      <c r="C274" s="110">
        <v>2930010</v>
      </c>
      <c r="D274" s="265" t="s">
        <v>335</v>
      </c>
      <c r="E274" s="114"/>
      <c r="F274" s="110">
        <v>796</v>
      </c>
      <c r="G274" s="81" t="s">
        <v>17</v>
      </c>
      <c r="H274" s="81">
        <v>6</v>
      </c>
      <c r="I274" s="151">
        <v>98401</v>
      </c>
      <c r="J274" s="83" t="s">
        <v>429</v>
      </c>
      <c r="K274" s="83">
        <v>52600</v>
      </c>
      <c r="L274" s="246" t="str">
        <f t="shared" si="36"/>
        <v>3 квартал 2012</v>
      </c>
      <c r="M274" s="249"/>
      <c r="N274" s="255"/>
      <c r="O274" s="83"/>
      <c r="P274" s="83"/>
      <c r="Q274" s="83"/>
      <c r="R274" s="191"/>
      <c r="S274" s="83"/>
      <c r="T274" s="83">
        <v>4</v>
      </c>
      <c r="U274" s="83">
        <v>52600</v>
      </c>
      <c r="V274" s="83"/>
      <c r="W274" s="83"/>
      <c r="X274" s="167"/>
      <c r="Z274" s="237">
        <f t="shared" si="29"/>
        <v>0</v>
      </c>
    </row>
    <row r="275" spans="1:26" s="141" customFormat="1" x14ac:dyDescent="0.25">
      <c r="A275" s="186">
        <v>25.32</v>
      </c>
      <c r="B275" s="165" t="s">
        <v>426</v>
      </c>
      <c r="C275" s="110">
        <v>3320000</v>
      </c>
      <c r="D275" s="265" t="s">
        <v>208</v>
      </c>
      <c r="E275" s="114"/>
      <c r="F275" s="110">
        <v>796</v>
      </c>
      <c r="G275" s="81" t="s">
        <v>17</v>
      </c>
      <c r="H275" s="81">
        <v>1</v>
      </c>
      <c r="I275" s="151">
        <v>98401</v>
      </c>
      <c r="J275" s="83" t="s">
        <v>429</v>
      </c>
      <c r="K275" s="83">
        <v>35000</v>
      </c>
      <c r="L275" s="246" t="str">
        <f t="shared" si="36"/>
        <v>3 квартал 2012</v>
      </c>
      <c r="M275" s="249"/>
      <c r="N275" s="255"/>
      <c r="O275" s="83"/>
      <c r="P275" s="83"/>
      <c r="Q275" s="83"/>
      <c r="R275" s="191"/>
      <c r="S275" s="83"/>
      <c r="T275" s="83">
        <v>1</v>
      </c>
      <c r="U275" s="83">
        <v>35000</v>
      </c>
      <c r="V275" s="83"/>
      <c r="W275" s="83"/>
      <c r="X275" s="167"/>
      <c r="Z275" s="237">
        <f t="shared" si="29"/>
        <v>0</v>
      </c>
    </row>
    <row r="276" spans="1:26" s="141" customFormat="1" x14ac:dyDescent="0.25">
      <c r="A276" s="186">
        <v>25.33</v>
      </c>
      <c r="B276" s="165" t="s">
        <v>427</v>
      </c>
      <c r="C276" s="110">
        <v>3230020</v>
      </c>
      <c r="D276" s="265" t="s">
        <v>209</v>
      </c>
      <c r="E276" s="114"/>
      <c r="F276" s="110">
        <v>796</v>
      </c>
      <c r="G276" s="81" t="s">
        <v>17</v>
      </c>
      <c r="H276" s="81">
        <v>1</v>
      </c>
      <c r="I276" s="151">
        <v>98401</v>
      </c>
      <c r="J276" s="83" t="s">
        <v>429</v>
      </c>
      <c r="K276" s="83">
        <v>2990</v>
      </c>
      <c r="L276" s="246" t="str">
        <f t="shared" si="36"/>
        <v>3 квартал 2012</v>
      </c>
      <c r="M276" s="249"/>
      <c r="N276" s="255"/>
      <c r="O276" s="83"/>
      <c r="P276" s="83"/>
      <c r="Q276" s="83"/>
      <c r="R276" s="191"/>
      <c r="S276" s="83"/>
      <c r="T276" s="83">
        <v>1</v>
      </c>
      <c r="U276" s="83">
        <v>2990</v>
      </c>
      <c r="V276" s="83"/>
      <c r="W276" s="83"/>
      <c r="X276" s="167"/>
      <c r="Z276" s="237">
        <f t="shared" si="29"/>
        <v>0</v>
      </c>
    </row>
    <row r="277" spans="1:26" s="141" customFormat="1" x14ac:dyDescent="0.25">
      <c r="A277" s="186">
        <v>25.34</v>
      </c>
      <c r="B277" s="165" t="s">
        <v>427</v>
      </c>
      <c r="C277" s="110">
        <v>5235020</v>
      </c>
      <c r="D277" s="265" t="s">
        <v>210</v>
      </c>
      <c r="E277" s="114"/>
      <c r="F277" s="110">
        <v>796</v>
      </c>
      <c r="G277" s="81" t="s">
        <v>17</v>
      </c>
      <c r="H277" s="81">
        <v>1</v>
      </c>
      <c r="I277" s="151">
        <v>98401</v>
      </c>
      <c r="J277" s="83" t="s">
        <v>429</v>
      </c>
      <c r="K277" s="83">
        <v>15600</v>
      </c>
      <c r="L277" s="246" t="str">
        <f t="shared" si="36"/>
        <v>3 квартал 2012</v>
      </c>
      <c r="M277" s="249"/>
      <c r="N277" s="255"/>
      <c r="O277" s="83"/>
      <c r="P277" s="83"/>
      <c r="Q277" s="83"/>
      <c r="R277" s="191"/>
      <c r="S277" s="83"/>
      <c r="T277" s="83">
        <v>1</v>
      </c>
      <c r="U277" s="83">
        <v>15600</v>
      </c>
      <c r="V277" s="83"/>
      <c r="W277" s="83"/>
      <c r="X277" s="167"/>
      <c r="Z277" s="237">
        <f t="shared" si="29"/>
        <v>0</v>
      </c>
    </row>
    <row r="278" spans="1:26" s="141" customFormat="1" x14ac:dyDescent="0.25">
      <c r="A278" s="186">
        <v>25.35</v>
      </c>
      <c r="B278" s="165" t="s">
        <v>427</v>
      </c>
      <c r="C278" s="110">
        <v>5235020</v>
      </c>
      <c r="D278" s="265" t="s">
        <v>330</v>
      </c>
      <c r="E278" s="114"/>
      <c r="F278" s="110">
        <v>796</v>
      </c>
      <c r="G278" s="81" t="s">
        <v>17</v>
      </c>
      <c r="H278" s="81">
        <v>2</v>
      </c>
      <c r="I278" s="151">
        <v>98401</v>
      </c>
      <c r="J278" s="83" t="s">
        <v>429</v>
      </c>
      <c r="K278" s="83">
        <v>28200</v>
      </c>
      <c r="L278" s="246" t="str">
        <f t="shared" si="36"/>
        <v>3 квартал 2012</v>
      </c>
      <c r="M278" s="249"/>
      <c r="N278" s="255"/>
      <c r="O278" s="83"/>
      <c r="P278" s="83"/>
      <c r="Q278" s="83"/>
      <c r="R278" s="191"/>
      <c r="S278" s="83"/>
      <c r="T278" s="83">
        <v>2</v>
      </c>
      <c r="U278" s="83">
        <v>28200</v>
      </c>
      <c r="V278" s="83"/>
      <c r="W278" s="83"/>
      <c r="X278" s="167"/>
      <c r="Z278" s="237">
        <f t="shared" si="29"/>
        <v>0</v>
      </c>
    </row>
    <row r="279" spans="1:26" s="141" customFormat="1" x14ac:dyDescent="0.25">
      <c r="A279" s="186">
        <v>25.36</v>
      </c>
      <c r="B279" s="165" t="s">
        <v>427</v>
      </c>
      <c r="C279" s="110">
        <v>3221000</v>
      </c>
      <c r="D279" s="265" t="s">
        <v>332</v>
      </c>
      <c r="E279" s="114"/>
      <c r="F279" s="110">
        <v>796</v>
      </c>
      <c r="G279" s="81" t="s">
        <v>17</v>
      </c>
      <c r="H279" s="81">
        <v>7</v>
      </c>
      <c r="I279" s="151">
        <v>98401</v>
      </c>
      <c r="J279" s="83" t="s">
        <v>429</v>
      </c>
      <c r="K279" s="83">
        <v>95000</v>
      </c>
      <c r="L279" s="246" t="str">
        <f t="shared" si="36"/>
        <v>3 квартал 2012</v>
      </c>
      <c r="M279" s="249"/>
      <c r="N279" s="255"/>
      <c r="O279" s="83"/>
      <c r="P279" s="83"/>
      <c r="Q279" s="83"/>
      <c r="R279" s="191"/>
      <c r="S279" s="83"/>
      <c r="T279" s="83">
        <v>7</v>
      </c>
      <c r="U279" s="83">
        <v>95000</v>
      </c>
      <c r="V279" s="83"/>
      <c r="W279" s="83"/>
      <c r="X279" s="167"/>
      <c r="Z279" s="237">
        <f t="shared" si="29"/>
        <v>0</v>
      </c>
    </row>
    <row r="280" spans="1:26" s="141" customFormat="1" x14ac:dyDescent="0.25">
      <c r="A280" s="186">
        <v>25.37</v>
      </c>
      <c r="B280" s="165" t="s">
        <v>427</v>
      </c>
      <c r="C280" s="110">
        <v>3221000</v>
      </c>
      <c r="D280" s="265" t="s">
        <v>349</v>
      </c>
      <c r="E280" s="114"/>
      <c r="F280" s="110">
        <v>796</v>
      </c>
      <c r="G280" s="81" t="s">
        <v>17</v>
      </c>
      <c r="H280" s="81">
        <v>3</v>
      </c>
      <c r="I280" s="151">
        <v>98401</v>
      </c>
      <c r="J280" s="83" t="s">
        <v>429</v>
      </c>
      <c r="K280" s="83">
        <v>95000</v>
      </c>
      <c r="L280" s="246" t="str">
        <f t="shared" si="36"/>
        <v>3 квартал 2012</v>
      </c>
      <c r="M280" s="249"/>
      <c r="N280" s="255"/>
      <c r="O280" s="83"/>
      <c r="P280" s="83"/>
      <c r="Q280" s="83"/>
      <c r="R280" s="191"/>
      <c r="S280" s="83"/>
      <c r="T280" s="83">
        <v>3</v>
      </c>
      <c r="U280" s="83">
        <v>95000</v>
      </c>
      <c r="V280" s="83"/>
      <c r="W280" s="83"/>
      <c r="X280" s="167"/>
      <c r="Z280" s="237">
        <f t="shared" si="29"/>
        <v>0</v>
      </c>
    </row>
    <row r="281" spans="1:26" s="141" customFormat="1" x14ac:dyDescent="0.25">
      <c r="A281" s="186">
        <v>25.38</v>
      </c>
      <c r="B281" s="165" t="s">
        <v>427</v>
      </c>
      <c r="C281" s="110">
        <v>3221000</v>
      </c>
      <c r="D281" s="265" t="s">
        <v>340</v>
      </c>
      <c r="E281" s="114"/>
      <c r="F281" s="110">
        <v>796</v>
      </c>
      <c r="G281" s="81" t="s">
        <v>17</v>
      </c>
      <c r="H281" s="81">
        <v>3</v>
      </c>
      <c r="I281" s="151">
        <v>98401</v>
      </c>
      <c r="J281" s="83" t="s">
        <v>429</v>
      </c>
      <c r="K281" s="83">
        <v>1710</v>
      </c>
      <c r="L281" s="246" t="str">
        <f t="shared" si="36"/>
        <v>3 квартал 2012</v>
      </c>
      <c r="M281" s="249"/>
      <c r="N281" s="255"/>
      <c r="O281" s="83"/>
      <c r="P281" s="83"/>
      <c r="Q281" s="83"/>
      <c r="R281" s="191"/>
      <c r="S281" s="83"/>
      <c r="T281" s="83">
        <v>3</v>
      </c>
      <c r="U281" s="83">
        <v>1710</v>
      </c>
      <c r="V281" s="83"/>
      <c r="W281" s="83"/>
      <c r="X281" s="167"/>
      <c r="Z281" s="237">
        <f t="shared" ref="Z281:Z343" si="37">K281-Q281-S281-U281-W281</f>
        <v>0</v>
      </c>
    </row>
    <row r="282" spans="1:26" s="141" customFormat="1" x14ac:dyDescent="0.25">
      <c r="A282" s="186">
        <v>25.39</v>
      </c>
      <c r="B282" s="165" t="s">
        <v>427</v>
      </c>
      <c r="C282" s="110">
        <v>3221000</v>
      </c>
      <c r="D282" s="265" t="s">
        <v>341</v>
      </c>
      <c r="E282" s="114"/>
      <c r="F282" s="110">
        <v>796</v>
      </c>
      <c r="G282" s="81" t="s">
        <v>17</v>
      </c>
      <c r="H282" s="81">
        <v>1</v>
      </c>
      <c r="I282" s="151">
        <v>98401</v>
      </c>
      <c r="J282" s="83" t="s">
        <v>429</v>
      </c>
      <c r="K282" s="83">
        <v>1050</v>
      </c>
      <c r="L282" s="246" t="str">
        <f t="shared" si="36"/>
        <v>3 квартал 2012</v>
      </c>
      <c r="M282" s="249"/>
      <c r="N282" s="255"/>
      <c r="O282" s="83"/>
      <c r="P282" s="83"/>
      <c r="Q282" s="83"/>
      <c r="R282" s="191"/>
      <c r="S282" s="83"/>
      <c r="T282" s="83">
        <v>1</v>
      </c>
      <c r="U282" s="83">
        <v>1050</v>
      </c>
      <c r="V282" s="83"/>
      <c r="W282" s="83"/>
      <c r="X282" s="167"/>
      <c r="Z282" s="237">
        <f t="shared" si="37"/>
        <v>0</v>
      </c>
    </row>
    <row r="283" spans="1:26" s="141" customFormat="1" x14ac:dyDescent="0.25">
      <c r="A283" s="186">
        <v>25.4</v>
      </c>
      <c r="B283" s="165" t="s">
        <v>427</v>
      </c>
      <c r="C283" s="110">
        <v>3221000</v>
      </c>
      <c r="D283" s="265" t="s">
        <v>207</v>
      </c>
      <c r="E283" s="114"/>
      <c r="F283" s="110">
        <v>796</v>
      </c>
      <c r="G283" s="81" t="s">
        <v>17</v>
      </c>
      <c r="H283" s="81">
        <v>2</v>
      </c>
      <c r="I283" s="151">
        <v>98401</v>
      </c>
      <c r="J283" s="83" t="s">
        <v>429</v>
      </c>
      <c r="K283" s="83">
        <v>11980</v>
      </c>
      <c r="L283" s="246" t="str">
        <f t="shared" si="36"/>
        <v>3 квартал 2012</v>
      </c>
      <c r="M283" s="249"/>
      <c r="N283" s="255"/>
      <c r="O283" s="83"/>
      <c r="P283" s="83"/>
      <c r="Q283" s="83"/>
      <c r="R283" s="191"/>
      <c r="S283" s="83"/>
      <c r="T283" s="83">
        <v>2</v>
      </c>
      <c r="U283" s="83">
        <v>11980</v>
      </c>
      <c r="V283" s="83"/>
      <c r="W283" s="83"/>
      <c r="X283" s="167"/>
      <c r="Z283" s="237">
        <f t="shared" si="37"/>
        <v>0</v>
      </c>
    </row>
    <row r="284" spans="1:26" s="141" customFormat="1" ht="24.75" x14ac:dyDescent="0.25">
      <c r="A284" s="186">
        <v>25.41</v>
      </c>
      <c r="B284" s="165" t="s">
        <v>427</v>
      </c>
      <c r="C284" s="110">
        <v>3320000</v>
      </c>
      <c r="D284" s="265" t="s">
        <v>342</v>
      </c>
      <c r="E284" s="114"/>
      <c r="F284" s="110">
        <v>796</v>
      </c>
      <c r="G284" s="81" t="s">
        <v>17</v>
      </c>
      <c r="H284" s="81">
        <v>3</v>
      </c>
      <c r="I284" s="151">
        <v>98401</v>
      </c>
      <c r="J284" s="83" t="s">
        <v>429</v>
      </c>
      <c r="K284" s="83">
        <v>17070</v>
      </c>
      <c r="L284" s="246" t="str">
        <f t="shared" si="36"/>
        <v>3 квартал 2012</v>
      </c>
      <c r="M284" s="249"/>
      <c r="N284" s="255"/>
      <c r="O284" s="83"/>
      <c r="P284" s="83"/>
      <c r="Q284" s="83"/>
      <c r="R284" s="191"/>
      <c r="S284" s="83"/>
      <c r="T284" s="83">
        <v>3</v>
      </c>
      <c r="U284" s="83">
        <v>17070</v>
      </c>
      <c r="V284" s="83"/>
      <c r="W284" s="83"/>
      <c r="X284" s="167"/>
      <c r="Z284" s="237">
        <f t="shared" si="37"/>
        <v>0</v>
      </c>
    </row>
    <row r="285" spans="1:26" s="141" customFormat="1" x14ac:dyDescent="0.25">
      <c r="A285" s="186">
        <v>25.42</v>
      </c>
      <c r="B285" s="165" t="s">
        <v>427</v>
      </c>
      <c r="C285" s="110">
        <v>2930010</v>
      </c>
      <c r="D285" s="265" t="s">
        <v>345</v>
      </c>
      <c r="E285" s="114"/>
      <c r="F285" s="110">
        <v>796</v>
      </c>
      <c r="G285" s="81" t="s">
        <v>17</v>
      </c>
      <c r="H285" s="81">
        <v>3</v>
      </c>
      <c r="I285" s="151">
        <v>98401</v>
      </c>
      <c r="J285" s="83" t="s">
        <v>429</v>
      </c>
      <c r="K285" s="83">
        <v>4970</v>
      </c>
      <c r="L285" s="246" t="str">
        <f t="shared" si="36"/>
        <v>3 квартал 2012</v>
      </c>
      <c r="M285" s="249"/>
      <c r="N285" s="255"/>
      <c r="O285" s="83"/>
      <c r="P285" s="83"/>
      <c r="Q285" s="83"/>
      <c r="R285" s="191"/>
      <c r="S285" s="83"/>
      <c r="T285" s="83">
        <v>3</v>
      </c>
      <c r="U285" s="83">
        <v>4970</v>
      </c>
      <c r="V285" s="83"/>
      <c r="W285" s="83"/>
      <c r="X285" s="167"/>
      <c r="Z285" s="237">
        <f t="shared" si="37"/>
        <v>0</v>
      </c>
    </row>
    <row r="286" spans="1:26" s="141" customFormat="1" x14ac:dyDescent="0.25">
      <c r="A286" s="186">
        <v>25.43</v>
      </c>
      <c r="B286" s="165" t="s">
        <v>427</v>
      </c>
      <c r="C286" s="110">
        <v>3320000</v>
      </c>
      <c r="D286" s="265" t="s">
        <v>347</v>
      </c>
      <c r="E286" s="114"/>
      <c r="F286" s="110">
        <v>796</v>
      </c>
      <c r="G286" s="81" t="s">
        <v>17</v>
      </c>
      <c r="H286" s="81">
        <v>1</v>
      </c>
      <c r="I286" s="151">
        <v>98401</v>
      </c>
      <c r="J286" s="83" t="s">
        <v>429</v>
      </c>
      <c r="K286" s="83">
        <v>34000</v>
      </c>
      <c r="L286" s="246" t="str">
        <f t="shared" si="36"/>
        <v>3 квартал 2012</v>
      </c>
      <c r="M286" s="249"/>
      <c r="N286" s="255"/>
      <c r="O286" s="83"/>
      <c r="P286" s="83"/>
      <c r="Q286" s="83"/>
      <c r="R286" s="191"/>
      <c r="S286" s="83"/>
      <c r="T286" s="83">
        <v>1</v>
      </c>
      <c r="U286" s="83">
        <v>34000</v>
      </c>
      <c r="V286" s="83"/>
      <c r="W286" s="83"/>
      <c r="X286" s="167"/>
      <c r="Z286" s="237">
        <f t="shared" si="37"/>
        <v>0</v>
      </c>
    </row>
    <row r="287" spans="1:26" s="141" customFormat="1" x14ac:dyDescent="0.25">
      <c r="A287" s="186">
        <v>25.44</v>
      </c>
      <c r="B287" s="165" t="s">
        <v>427</v>
      </c>
      <c r="C287" s="110">
        <v>2930010</v>
      </c>
      <c r="D287" s="265" t="s">
        <v>346</v>
      </c>
      <c r="E287" s="114"/>
      <c r="F287" s="110">
        <v>796</v>
      </c>
      <c r="G287" s="81" t="s">
        <v>17</v>
      </c>
      <c r="H287" s="81">
        <v>1</v>
      </c>
      <c r="I287" s="151">
        <v>98401</v>
      </c>
      <c r="J287" s="83" t="s">
        <v>429</v>
      </c>
      <c r="K287" s="83">
        <v>3035</v>
      </c>
      <c r="L287" s="246" t="str">
        <f t="shared" si="36"/>
        <v>3 квартал 2012</v>
      </c>
      <c r="M287" s="249"/>
      <c r="N287" s="255"/>
      <c r="O287" s="83"/>
      <c r="P287" s="83"/>
      <c r="Q287" s="83"/>
      <c r="R287" s="191"/>
      <c r="S287" s="83"/>
      <c r="T287" s="83">
        <v>1</v>
      </c>
      <c r="U287" s="83">
        <v>3035</v>
      </c>
      <c r="V287" s="83"/>
      <c r="W287" s="83"/>
      <c r="X287" s="167"/>
      <c r="Z287" s="237">
        <f t="shared" si="37"/>
        <v>0</v>
      </c>
    </row>
    <row r="288" spans="1:26" s="141" customFormat="1" x14ac:dyDescent="0.25">
      <c r="A288" s="186">
        <v>25.45</v>
      </c>
      <c r="B288" s="165" t="s">
        <v>427</v>
      </c>
      <c r="C288" s="110">
        <v>5235020</v>
      </c>
      <c r="D288" s="265" t="s">
        <v>348</v>
      </c>
      <c r="E288" s="114"/>
      <c r="F288" s="110">
        <v>796</v>
      </c>
      <c r="G288" s="81" t="s">
        <v>17</v>
      </c>
      <c r="H288" s="81">
        <v>3</v>
      </c>
      <c r="I288" s="151">
        <v>98401</v>
      </c>
      <c r="J288" s="83" t="s">
        <v>429</v>
      </c>
      <c r="K288" s="83">
        <v>98970</v>
      </c>
      <c r="L288" s="246" t="str">
        <f t="shared" si="36"/>
        <v>3 квартал 2012</v>
      </c>
      <c r="M288" s="249"/>
      <c r="N288" s="255"/>
      <c r="O288" s="83"/>
      <c r="P288" s="83"/>
      <c r="Q288" s="83"/>
      <c r="R288" s="191"/>
      <c r="S288" s="83"/>
      <c r="T288" s="83">
        <v>3</v>
      </c>
      <c r="U288" s="83">
        <v>98970</v>
      </c>
      <c r="V288" s="83"/>
      <c r="W288" s="83"/>
      <c r="X288" s="167"/>
      <c r="Z288" s="237">
        <f t="shared" si="37"/>
        <v>0</v>
      </c>
    </row>
    <row r="289" spans="1:26" s="141" customFormat="1" x14ac:dyDescent="0.25">
      <c r="A289" s="186">
        <v>25.46</v>
      </c>
      <c r="B289" s="165" t="s">
        <v>427</v>
      </c>
      <c r="C289" s="110">
        <v>3320000</v>
      </c>
      <c r="D289" s="265" t="s">
        <v>350</v>
      </c>
      <c r="E289" s="114"/>
      <c r="F289" s="110">
        <v>796</v>
      </c>
      <c r="G289" s="81" t="s">
        <v>17</v>
      </c>
      <c r="H289" s="81">
        <v>1</v>
      </c>
      <c r="I289" s="151">
        <v>98401</v>
      </c>
      <c r="J289" s="83" t="s">
        <v>429</v>
      </c>
      <c r="K289" s="83">
        <v>7000</v>
      </c>
      <c r="L289" s="246" t="str">
        <f t="shared" si="36"/>
        <v>3 квартал 2012</v>
      </c>
      <c r="M289" s="249"/>
      <c r="N289" s="255"/>
      <c r="O289" s="83"/>
      <c r="P289" s="83"/>
      <c r="Q289" s="83"/>
      <c r="R289" s="191"/>
      <c r="S289" s="83"/>
      <c r="T289" s="83">
        <v>1</v>
      </c>
      <c r="U289" s="83">
        <v>7000</v>
      </c>
      <c r="V289" s="83"/>
      <c r="W289" s="83"/>
      <c r="X289" s="167"/>
      <c r="Z289" s="237">
        <f t="shared" si="37"/>
        <v>0</v>
      </c>
    </row>
    <row r="290" spans="1:26" s="141" customFormat="1" x14ac:dyDescent="0.25">
      <c r="A290" s="186">
        <v>25.47</v>
      </c>
      <c r="B290" s="165" t="s">
        <v>427</v>
      </c>
      <c r="C290" s="110">
        <v>2930010</v>
      </c>
      <c r="D290" s="265" t="s">
        <v>351</v>
      </c>
      <c r="E290" s="114"/>
      <c r="F290" s="110">
        <v>796</v>
      </c>
      <c r="G290" s="81" t="s">
        <v>17</v>
      </c>
      <c r="H290" s="81">
        <v>1</v>
      </c>
      <c r="I290" s="151">
        <v>98401</v>
      </c>
      <c r="J290" s="83" t="s">
        <v>429</v>
      </c>
      <c r="K290" s="83">
        <v>1090</v>
      </c>
      <c r="L290" s="246" t="str">
        <f t="shared" si="36"/>
        <v>3 квартал 2012</v>
      </c>
      <c r="M290" s="249"/>
      <c r="N290" s="255"/>
      <c r="O290" s="83"/>
      <c r="P290" s="83"/>
      <c r="Q290" s="83"/>
      <c r="R290" s="191"/>
      <c r="S290" s="83"/>
      <c r="T290" s="83">
        <v>1</v>
      </c>
      <c r="U290" s="83">
        <v>1090</v>
      </c>
      <c r="V290" s="83"/>
      <c r="W290" s="83"/>
      <c r="X290" s="167"/>
      <c r="Z290" s="237">
        <f t="shared" si="37"/>
        <v>0</v>
      </c>
    </row>
    <row r="291" spans="1:26" s="141" customFormat="1" ht="24.75" x14ac:dyDescent="0.25">
      <c r="A291" s="186"/>
      <c r="B291" s="165"/>
      <c r="C291" s="110"/>
      <c r="D291" s="271" t="s">
        <v>470</v>
      </c>
      <c r="E291" s="114" t="s">
        <v>467</v>
      </c>
      <c r="F291" s="110">
        <v>796</v>
      </c>
      <c r="G291" s="81" t="s">
        <v>17</v>
      </c>
      <c r="H291" s="81">
        <f t="shared" ref="H291:H296" si="38">V291</f>
        <v>1</v>
      </c>
      <c r="I291" s="151">
        <v>98401</v>
      </c>
      <c r="J291" s="83" t="s">
        <v>429</v>
      </c>
      <c r="K291" s="83">
        <f t="shared" ref="K291:K296" si="39">W291</f>
        <v>460000</v>
      </c>
      <c r="L291" s="246" t="str">
        <f t="shared" si="36"/>
        <v>4 квартал 2012</v>
      </c>
      <c r="M291" s="245">
        <v>41244</v>
      </c>
      <c r="N291" s="255"/>
      <c r="O291" s="83"/>
      <c r="P291" s="83"/>
      <c r="Q291" s="83"/>
      <c r="R291" s="191"/>
      <c r="S291" s="83"/>
      <c r="T291" s="83"/>
      <c r="U291" s="83"/>
      <c r="V291" s="83">
        <v>1</v>
      </c>
      <c r="W291" s="83">
        <v>460000</v>
      </c>
      <c r="X291" s="167"/>
      <c r="Z291" s="237">
        <f t="shared" si="37"/>
        <v>0</v>
      </c>
    </row>
    <row r="292" spans="1:26" s="141" customFormat="1" x14ac:dyDescent="0.25">
      <c r="A292" s="186"/>
      <c r="B292" s="165"/>
      <c r="C292" s="110"/>
      <c r="D292" s="271" t="s">
        <v>471</v>
      </c>
      <c r="E292" s="114" t="s">
        <v>467</v>
      </c>
      <c r="F292" s="110">
        <v>796</v>
      </c>
      <c r="G292" s="81" t="s">
        <v>17</v>
      </c>
      <c r="H292" s="81">
        <f t="shared" si="38"/>
        <v>1</v>
      </c>
      <c r="I292" s="151">
        <v>98401</v>
      </c>
      <c r="J292" s="83" t="s">
        <v>429</v>
      </c>
      <c r="K292" s="83">
        <f t="shared" si="39"/>
        <v>300000</v>
      </c>
      <c r="L292" s="246" t="str">
        <f t="shared" si="36"/>
        <v>4 квартал 2012</v>
      </c>
      <c r="M292" s="245">
        <v>41244</v>
      </c>
      <c r="N292" s="255"/>
      <c r="O292" s="83"/>
      <c r="P292" s="83"/>
      <c r="Q292" s="83"/>
      <c r="R292" s="191"/>
      <c r="S292" s="83"/>
      <c r="T292" s="83"/>
      <c r="U292" s="83"/>
      <c r="V292" s="83">
        <v>1</v>
      </c>
      <c r="W292" s="83">
        <v>300000</v>
      </c>
      <c r="X292" s="167"/>
      <c r="Z292" s="237">
        <f t="shared" si="37"/>
        <v>0</v>
      </c>
    </row>
    <row r="293" spans="1:26" s="141" customFormat="1" x14ac:dyDescent="0.25">
      <c r="A293" s="186"/>
      <c r="B293" s="165"/>
      <c r="C293" s="110"/>
      <c r="D293" s="271" t="s">
        <v>472</v>
      </c>
      <c r="E293" s="114" t="s">
        <v>467</v>
      </c>
      <c r="F293" s="110">
        <v>796</v>
      </c>
      <c r="G293" s="81" t="s">
        <v>17</v>
      </c>
      <c r="H293" s="81">
        <f t="shared" si="38"/>
        <v>4</v>
      </c>
      <c r="I293" s="151">
        <v>98401</v>
      </c>
      <c r="J293" s="83" t="s">
        <v>429</v>
      </c>
      <c r="K293" s="83">
        <f t="shared" si="39"/>
        <v>1200000</v>
      </c>
      <c r="L293" s="246" t="str">
        <f t="shared" si="36"/>
        <v>4 квартал 2012</v>
      </c>
      <c r="M293" s="245">
        <v>41244</v>
      </c>
      <c r="N293" s="255"/>
      <c r="O293" s="83"/>
      <c r="P293" s="83"/>
      <c r="Q293" s="83"/>
      <c r="R293" s="191"/>
      <c r="S293" s="83"/>
      <c r="T293" s="83"/>
      <c r="U293" s="83"/>
      <c r="V293" s="83">
        <v>4</v>
      </c>
      <c r="W293" s="83">
        <v>1200000</v>
      </c>
      <c r="X293" s="167"/>
      <c r="Z293" s="237">
        <f t="shared" si="37"/>
        <v>0</v>
      </c>
    </row>
    <row r="294" spans="1:26" s="141" customFormat="1" x14ac:dyDescent="0.25">
      <c r="A294" s="186"/>
      <c r="B294" s="165"/>
      <c r="C294" s="110"/>
      <c r="D294" s="271" t="s">
        <v>473</v>
      </c>
      <c r="E294" s="114" t="s">
        <v>467</v>
      </c>
      <c r="F294" s="110">
        <v>796</v>
      </c>
      <c r="G294" s="81" t="s">
        <v>17</v>
      </c>
      <c r="H294" s="81">
        <f t="shared" si="38"/>
        <v>100</v>
      </c>
      <c r="I294" s="151">
        <v>98401</v>
      </c>
      <c r="J294" s="83" t="s">
        <v>429</v>
      </c>
      <c r="K294" s="83">
        <f t="shared" si="39"/>
        <v>4000000</v>
      </c>
      <c r="L294" s="246" t="str">
        <f t="shared" si="36"/>
        <v>4 квартал 2012</v>
      </c>
      <c r="M294" s="245">
        <v>41244</v>
      </c>
      <c r="N294" s="255"/>
      <c r="O294" s="83"/>
      <c r="P294" s="83"/>
      <c r="Q294" s="83"/>
      <c r="R294" s="191"/>
      <c r="S294" s="83"/>
      <c r="T294" s="83"/>
      <c r="U294" s="83"/>
      <c r="V294" s="83">
        <v>100</v>
      </c>
      <c r="W294" s="83">
        <v>4000000</v>
      </c>
      <c r="X294" s="167"/>
      <c r="Z294" s="237">
        <f t="shared" si="37"/>
        <v>0</v>
      </c>
    </row>
    <row r="295" spans="1:26" s="141" customFormat="1" ht="24.75" x14ac:dyDescent="0.25">
      <c r="A295" s="186"/>
      <c r="B295" s="165"/>
      <c r="C295" s="110"/>
      <c r="D295" s="271" t="s">
        <v>474</v>
      </c>
      <c r="E295" s="114" t="s">
        <v>467</v>
      </c>
      <c r="F295" s="110">
        <v>796</v>
      </c>
      <c r="G295" s="81" t="s">
        <v>17</v>
      </c>
      <c r="H295" s="81">
        <f t="shared" si="38"/>
        <v>4</v>
      </c>
      <c r="I295" s="151">
        <v>98401</v>
      </c>
      <c r="J295" s="83" t="s">
        <v>429</v>
      </c>
      <c r="K295" s="83">
        <f t="shared" si="39"/>
        <v>240000</v>
      </c>
      <c r="L295" s="246" t="str">
        <f t="shared" si="36"/>
        <v>4 квартал 2012</v>
      </c>
      <c r="M295" s="245">
        <v>41244</v>
      </c>
      <c r="N295" s="255"/>
      <c r="O295" s="83"/>
      <c r="P295" s="83"/>
      <c r="Q295" s="83"/>
      <c r="R295" s="191"/>
      <c r="S295" s="83"/>
      <c r="T295" s="83"/>
      <c r="U295" s="83"/>
      <c r="V295" s="83">
        <v>4</v>
      </c>
      <c r="W295" s="83">
        <v>240000</v>
      </c>
      <c r="X295" s="167"/>
      <c r="Z295" s="237">
        <f t="shared" si="37"/>
        <v>0</v>
      </c>
    </row>
    <row r="296" spans="1:26" s="141" customFormat="1" ht="24.75" x14ac:dyDescent="0.25">
      <c r="A296" s="186"/>
      <c r="B296" s="165"/>
      <c r="C296" s="110"/>
      <c r="D296" s="272" t="s">
        <v>475</v>
      </c>
      <c r="E296" s="114" t="s">
        <v>467</v>
      </c>
      <c r="F296" s="110">
        <v>796</v>
      </c>
      <c r="G296" s="81" t="s">
        <v>17</v>
      </c>
      <c r="H296" s="81">
        <f t="shared" si="38"/>
        <v>1</v>
      </c>
      <c r="I296" s="151">
        <v>98401</v>
      </c>
      <c r="J296" s="83" t="s">
        <v>429</v>
      </c>
      <c r="K296" s="83">
        <f t="shared" si="39"/>
        <v>20000</v>
      </c>
      <c r="L296" s="246" t="str">
        <f t="shared" si="36"/>
        <v>4 квартал 2012</v>
      </c>
      <c r="M296" s="245">
        <v>41244</v>
      </c>
      <c r="N296" s="255"/>
      <c r="O296" s="83"/>
      <c r="P296" s="83"/>
      <c r="Q296" s="83"/>
      <c r="R296" s="191"/>
      <c r="S296" s="83"/>
      <c r="T296" s="83"/>
      <c r="U296" s="83"/>
      <c r="V296" s="83">
        <v>1</v>
      </c>
      <c r="W296" s="83">
        <v>20000</v>
      </c>
      <c r="X296" s="167"/>
      <c r="Z296" s="237">
        <f t="shared" si="37"/>
        <v>0</v>
      </c>
    </row>
    <row r="297" spans="1:26" s="230" customFormat="1" ht="14.25" x14ac:dyDescent="0.2">
      <c r="A297" s="232">
        <v>26</v>
      </c>
      <c r="B297" s="156"/>
      <c r="C297" s="157"/>
      <c r="D297" s="264" t="s">
        <v>211</v>
      </c>
      <c r="E297" s="159"/>
      <c r="F297" s="159"/>
      <c r="G297" s="160"/>
      <c r="H297" s="160"/>
      <c r="I297" s="161"/>
      <c r="J297" s="162"/>
      <c r="K297" s="162">
        <f>SUM(K298:K322)</f>
        <v>6438560</v>
      </c>
      <c r="L297" s="244"/>
      <c r="M297" s="244"/>
      <c r="N297" s="254"/>
      <c r="O297" s="162"/>
      <c r="P297" s="162">
        <f t="shared" ref="P297:W297" si="40">SUM(P298:P322)</f>
        <v>13</v>
      </c>
      <c r="Q297" s="162">
        <f t="shared" si="40"/>
        <v>259900</v>
      </c>
      <c r="R297" s="162">
        <f t="shared" si="40"/>
        <v>15</v>
      </c>
      <c r="S297" s="162">
        <f t="shared" si="40"/>
        <v>177200</v>
      </c>
      <c r="T297" s="162">
        <f t="shared" si="40"/>
        <v>393</v>
      </c>
      <c r="U297" s="162">
        <f t="shared" si="40"/>
        <v>1636260</v>
      </c>
      <c r="V297" s="162">
        <f t="shared" si="40"/>
        <v>779</v>
      </c>
      <c r="W297" s="162">
        <f t="shared" si="40"/>
        <v>4365200</v>
      </c>
      <c r="X297" s="163"/>
      <c r="Y297" s="231"/>
      <c r="Z297" s="237">
        <f t="shared" si="37"/>
        <v>0</v>
      </c>
    </row>
    <row r="298" spans="1:26" s="141" customFormat="1" x14ac:dyDescent="0.25">
      <c r="A298" s="186">
        <v>26.1</v>
      </c>
      <c r="B298" s="165" t="s">
        <v>410</v>
      </c>
      <c r="C298" s="110">
        <v>5235020</v>
      </c>
      <c r="D298" s="265" t="s">
        <v>212</v>
      </c>
      <c r="E298" s="114"/>
      <c r="F298" s="110">
        <v>796</v>
      </c>
      <c r="G298" s="81" t="s">
        <v>17</v>
      </c>
      <c r="H298" s="81">
        <v>1</v>
      </c>
      <c r="I298" s="151">
        <v>98401</v>
      </c>
      <c r="J298" s="83" t="s">
        <v>429</v>
      </c>
      <c r="K298" s="83">
        <v>100000</v>
      </c>
      <c r="L298" s="246" t="str">
        <f t="shared" si="36"/>
        <v>2 квартал 2012</v>
      </c>
      <c r="M298" s="249"/>
      <c r="N298" s="255"/>
      <c r="O298" s="83"/>
      <c r="P298" s="191"/>
      <c r="Q298" s="191"/>
      <c r="R298" s="83">
        <v>1</v>
      </c>
      <c r="S298" s="83">
        <v>100000</v>
      </c>
      <c r="T298" s="83"/>
      <c r="U298" s="83"/>
      <c r="V298" s="83"/>
      <c r="W298" s="83"/>
      <c r="X298" s="167"/>
      <c r="Z298" s="237">
        <f t="shared" si="37"/>
        <v>0</v>
      </c>
    </row>
    <row r="299" spans="1:26" s="141" customFormat="1" ht="24.75" x14ac:dyDescent="0.25">
      <c r="A299" s="186">
        <v>26.2</v>
      </c>
      <c r="B299" s="165" t="s">
        <v>410</v>
      </c>
      <c r="C299" s="110">
        <v>5235020</v>
      </c>
      <c r="D299" s="271" t="s">
        <v>476</v>
      </c>
      <c r="E299" s="114" t="s">
        <v>477</v>
      </c>
      <c r="F299" s="110">
        <v>796</v>
      </c>
      <c r="G299" s="81" t="s">
        <v>17</v>
      </c>
      <c r="H299" s="81">
        <f>V299</f>
        <v>8</v>
      </c>
      <c r="I299" s="151">
        <v>98401</v>
      </c>
      <c r="J299" s="83" t="s">
        <v>429</v>
      </c>
      <c r="K299" s="83">
        <f>W299</f>
        <v>216000</v>
      </c>
      <c r="L299" s="246" t="str">
        <f t="shared" si="36"/>
        <v>4 квартал 2012</v>
      </c>
      <c r="M299" s="245">
        <v>41244</v>
      </c>
      <c r="N299" s="255"/>
      <c r="O299" s="83"/>
      <c r="P299" s="83"/>
      <c r="Q299" s="83"/>
      <c r="R299" s="83"/>
      <c r="S299" s="83"/>
      <c r="T299" s="83"/>
      <c r="U299" s="83"/>
      <c r="V299" s="83">
        <v>8</v>
      </c>
      <c r="W299" s="83">
        <v>216000</v>
      </c>
      <c r="X299" s="167"/>
      <c r="Z299" s="237">
        <f t="shared" si="37"/>
        <v>0</v>
      </c>
    </row>
    <row r="300" spans="1:26" s="141" customFormat="1" ht="24.75" x14ac:dyDescent="0.25">
      <c r="A300" s="186">
        <v>26.3</v>
      </c>
      <c r="B300" s="165" t="s">
        <v>410</v>
      </c>
      <c r="C300" s="110">
        <v>5235020</v>
      </c>
      <c r="D300" s="271" t="s">
        <v>478</v>
      </c>
      <c r="E300" s="114" t="s">
        <v>477</v>
      </c>
      <c r="F300" s="110">
        <v>796</v>
      </c>
      <c r="G300" s="81" t="s">
        <v>17</v>
      </c>
      <c r="H300" s="81">
        <f>V300</f>
        <v>100</v>
      </c>
      <c r="I300" s="151">
        <v>98401</v>
      </c>
      <c r="J300" s="83" t="s">
        <v>429</v>
      </c>
      <c r="K300" s="83">
        <f>W300</f>
        <v>800000</v>
      </c>
      <c r="L300" s="246" t="str">
        <f t="shared" si="36"/>
        <v>4 квартал 2012</v>
      </c>
      <c r="M300" s="245">
        <v>41244</v>
      </c>
      <c r="N300" s="255"/>
      <c r="O300" s="83"/>
      <c r="P300" s="83"/>
      <c r="Q300" s="83"/>
      <c r="R300" s="83"/>
      <c r="S300" s="83"/>
      <c r="T300" s="83"/>
      <c r="U300" s="83"/>
      <c r="V300" s="83">
        <v>100</v>
      </c>
      <c r="W300" s="83">
        <v>800000</v>
      </c>
      <c r="X300" s="167"/>
      <c r="Z300" s="237">
        <f t="shared" si="37"/>
        <v>0</v>
      </c>
    </row>
    <row r="301" spans="1:26" s="141" customFormat="1" ht="36.75" x14ac:dyDescent="0.25">
      <c r="A301" s="186"/>
      <c r="B301" s="165"/>
      <c r="C301" s="110"/>
      <c r="D301" s="271" t="s">
        <v>479</v>
      </c>
      <c r="E301" s="114" t="s">
        <v>467</v>
      </c>
      <c r="F301" s="110">
        <v>796</v>
      </c>
      <c r="G301" s="81" t="s">
        <v>17</v>
      </c>
      <c r="H301" s="81">
        <f>V301</f>
        <v>450</v>
      </c>
      <c r="I301" s="151">
        <v>98401</v>
      </c>
      <c r="J301" s="83" t="s">
        <v>429</v>
      </c>
      <c r="K301" s="83">
        <f>W301</f>
        <v>450000</v>
      </c>
      <c r="L301" s="246" t="str">
        <f t="shared" si="36"/>
        <v>4 квартал 2012</v>
      </c>
      <c r="M301" s="245">
        <v>41244</v>
      </c>
      <c r="N301" s="255"/>
      <c r="O301" s="83"/>
      <c r="P301" s="83"/>
      <c r="Q301" s="83"/>
      <c r="R301" s="83"/>
      <c r="S301" s="83"/>
      <c r="T301" s="83"/>
      <c r="U301" s="83"/>
      <c r="V301" s="83">
        <v>450</v>
      </c>
      <c r="W301" s="83">
        <v>450000</v>
      </c>
      <c r="X301" s="167"/>
      <c r="Z301" s="237">
        <f t="shared" si="37"/>
        <v>0</v>
      </c>
    </row>
    <row r="302" spans="1:26" s="141" customFormat="1" ht="36.75" x14ac:dyDescent="0.25">
      <c r="A302" s="186"/>
      <c r="B302" s="165"/>
      <c r="C302" s="110"/>
      <c r="D302" s="271" t="s">
        <v>480</v>
      </c>
      <c r="E302" s="114" t="s">
        <v>467</v>
      </c>
      <c r="F302" s="110">
        <v>796</v>
      </c>
      <c r="G302" s="81" t="s">
        <v>17</v>
      </c>
      <c r="H302" s="81">
        <f>V302</f>
        <v>20</v>
      </c>
      <c r="I302" s="151">
        <v>98401</v>
      </c>
      <c r="J302" s="83" t="s">
        <v>429</v>
      </c>
      <c r="K302" s="83">
        <f>W302</f>
        <v>60000</v>
      </c>
      <c r="L302" s="246" t="str">
        <f t="shared" si="36"/>
        <v>4 квартал 2012</v>
      </c>
      <c r="M302" s="245">
        <v>41244</v>
      </c>
      <c r="N302" s="255"/>
      <c r="O302" s="83"/>
      <c r="P302" s="83"/>
      <c r="Q302" s="83"/>
      <c r="R302" s="83"/>
      <c r="S302" s="83"/>
      <c r="T302" s="83"/>
      <c r="U302" s="83"/>
      <c r="V302" s="83">
        <v>20</v>
      </c>
      <c r="W302" s="83">
        <v>60000</v>
      </c>
      <c r="X302" s="167"/>
      <c r="Z302" s="237">
        <f t="shared" si="37"/>
        <v>0</v>
      </c>
    </row>
    <row r="303" spans="1:26" s="141" customFormat="1" x14ac:dyDescent="0.25">
      <c r="A303" s="186">
        <v>26.4</v>
      </c>
      <c r="B303" s="165" t="s">
        <v>410</v>
      </c>
      <c r="C303" s="110">
        <v>5235020</v>
      </c>
      <c r="D303" s="265" t="s">
        <v>215</v>
      </c>
      <c r="E303" s="114"/>
      <c r="F303" s="110">
        <v>796</v>
      </c>
      <c r="G303" s="81" t="s">
        <v>17</v>
      </c>
      <c r="H303" s="81">
        <v>150</v>
      </c>
      <c r="I303" s="151">
        <v>98401</v>
      </c>
      <c r="J303" s="83" t="s">
        <v>429</v>
      </c>
      <c r="K303" s="83">
        <v>83060</v>
      </c>
      <c r="L303" s="246" t="str">
        <f t="shared" si="36"/>
        <v>3 квартал 2012</v>
      </c>
      <c r="M303" s="249"/>
      <c r="N303" s="255"/>
      <c r="O303" s="83"/>
      <c r="P303" s="83"/>
      <c r="Q303" s="83"/>
      <c r="R303" s="83"/>
      <c r="S303" s="83"/>
      <c r="T303" s="83">
        <v>150</v>
      </c>
      <c r="U303" s="83">
        <v>83060</v>
      </c>
      <c r="V303" s="83"/>
      <c r="W303" s="83"/>
      <c r="X303" s="167"/>
      <c r="Z303" s="237">
        <f t="shared" si="37"/>
        <v>0</v>
      </c>
    </row>
    <row r="304" spans="1:26" s="141" customFormat="1" x14ac:dyDescent="0.25">
      <c r="A304" s="186">
        <v>26.6</v>
      </c>
      <c r="B304" s="165" t="s">
        <v>410</v>
      </c>
      <c r="C304" s="110">
        <v>5235020</v>
      </c>
      <c r="D304" s="265" t="s">
        <v>217</v>
      </c>
      <c r="E304" s="114"/>
      <c r="F304" s="110">
        <v>796</v>
      </c>
      <c r="G304" s="81" t="s">
        <v>17</v>
      </c>
      <c r="H304" s="81">
        <v>5</v>
      </c>
      <c r="I304" s="151">
        <v>98401</v>
      </c>
      <c r="J304" s="83" t="s">
        <v>429</v>
      </c>
      <c r="K304" s="83">
        <v>225000</v>
      </c>
      <c r="L304" s="246" t="str">
        <f t="shared" si="36"/>
        <v>3 квартал 2012</v>
      </c>
      <c r="M304" s="249"/>
      <c r="N304" s="255"/>
      <c r="O304" s="83"/>
      <c r="P304" s="83"/>
      <c r="Q304" s="83"/>
      <c r="R304" s="83"/>
      <c r="S304" s="83"/>
      <c r="T304" s="83">
        <v>5</v>
      </c>
      <c r="U304" s="83">
        <v>225000</v>
      </c>
      <c r="V304" s="83"/>
      <c r="W304" s="83"/>
      <c r="X304" s="167"/>
      <c r="Z304" s="237">
        <f t="shared" si="37"/>
        <v>0</v>
      </c>
    </row>
    <row r="305" spans="1:26" s="141" customFormat="1" x14ac:dyDescent="0.25">
      <c r="A305" s="186">
        <v>26.7</v>
      </c>
      <c r="B305" s="165" t="s">
        <v>410</v>
      </c>
      <c r="C305" s="110">
        <v>5235020</v>
      </c>
      <c r="D305" s="265" t="s">
        <v>218</v>
      </c>
      <c r="E305" s="114"/>
      <c r="F305" s="110">
        <v>796</v>
      </c>
      <c r="G305" s="81" t="s">
        <v>17</v>
      </c>
      <c r="H305" s="81">
        <v>1</v>
      </c>
      <c r="I305" s="151">
        <v>98401</v>
      </c>
      <c r="J305" s="83" t="s">
        <v>429</v>
      </c>
      <c r="K305" s="83">
        <v>40000</v>
      </c>
      <c r="L305" s="246" t="str">
        <f t="shared" si="36"/>
        <v>1 квартал 2012</v>
      </c>
      <c r="M305" s="249"/>
      <c r="N305" s="255"/>
      <c r="O305" s="83"/>
      <c r="P305" s="83">
        <v>1</v>
      </c>
      <c r="Q305" s="83">
        <v>40000</v>
      </c>
      <c r="R305" s="83"/>
      <c r="S305" s="83"/>
      <c r="T305" s="83"/>
      <c r="U305" s="83"/>
      <c r="V305" s="83"/>
      <c r="W305" s="83"/>
      <c r="X305" s="167"/>
      <c r="Z305" s="237">
        <f t="shared" si="37"/>
        <v>0</v>
      </c>
    </row>
    <row r="306" spans="1:26" s="227" customFormat="1" ht="36.75" x14ac:dyDescent="0.25">
      <c r="A306" s="234">
        <v>26.8</v>
      </c>
      <c r="B306" s="219" t="s">
        <v>410</v>
      </c>
      <c r="C306" s="220">
        <v>5235020</v>
      </c>
      <c r="D306" s="273" t="s">
        <v>506</v>
      </c>
      <c r="E306" s="229"/>
      <c r="F306" s="220">
        <v>796</v>
      </c>
      <c r="G306" s="222" t="s">
        <v>17</v>
      </c>
      <c r="H306" s="222">
        <v>10</v>
      </c>
      <c r="I306" s="223">
        <v>98401</v>
      </c>
      <c r="J306" s="224" t="s">
        <v>429</v>
      </c>
      <c r="K306" s="224">
        <v>540000</v>
      </c>
      <c r="L306" s="251" t="str">
        <f t="shared" ref="L306:L322" si="41">IF(Q306&gt;0,"1 квартал 2012",IF(S306&gt;0,"2 квартал 2012",IF(U306&gt;0,"3 квартал 2012","4 квартал 2012")))</f>
        <v>4 квартал 2012</v>
      </c>
      <c r="M306" s="252"/>
      <c r="N306" s="261"/>
      <c r="O306" s="224"/>
      <c r="P306" s="224"/>
      <c r="Q306" s="224"/>
      <c r="R306" s="224"/>
      <c r="S306" s="224"/>
      <c r="T306" s="224"/>
      <c r="U306" s="224"/>
      <c r="V306" s="224">
        <v>10</v>
      </c>
      <c r="W306" s="224">
        <v>540000</v>
      </c>
      <c r="X306" s="225"/>
      <c r="Z306" s="238">
        <f t="shared" si="37"/>
        <v>0</v>
      </c>
    </row>
    <row r="307" spans="1:26" s="141" customFormat="1" x14ac:dyDescent="0.25">
      <c r="A307" s="186">
        <v>26.9</v>
      </c>
      <c r="B307" s="165" t="s">
        <v>410</v>
      </c>
      <c r="C307" s="110">
        <v>5235020</v>
      </c>
      <c r="D307" s="265" t="s">
        <v>220</v>
      </c>
      <c r="E307" s="114"/>
      <c r="F307" s="110">
        <v>796</v>
      </c>
      <c r="G307" s="81" t="s">
        <v>17</v>
      </c>
      <c r="H307" s="81">
        <v>1</v>
      </c>
      <c r="I307" s="151">
        <v>98401</v>
      </c>
      <c r="J307" s="83" t="s">
        <v>429</v>
      </c>
      <c r="K307" s="83">
        <v>23000</v>
      </c>
      <c r="L307" s="246" t="str">
        <f t="shared" si="41"/>
        <v>1 квартал 2012</v>
      </c>
      <c r="M307" s="249"/>
      <c r="N307" s="255"/>
      <c r="O307" s="83"/>
      <c r="P307" s="83">
        <v>1</v>
      </c>
      <c r="Q307" s="83">
        <v>23000</v>
      </c>
      <c r="R307" s="83"/>
      <c r="S307" s="83"/>
      <c r="T307" s="83"/>
      <c r="U307" s="83"/>
      <c r="V307" s="83"/>
      <c r="W307" s="83"/>
      <c r="X307" s="167"/>
      <c r="Z307" s="237">
        <f t="shared" si="37"/>
        <v>0</v>
      </c>
    </row>
    <row r="308" spans="1:26" s="141" customFormat="1" x14ac:dyDescent="0.25">
      <c r="A308" s="186">
        <v>26.1</v>
      </c>
      <c r="B308" s="165" t="s">
        <v>410</v>
      </c>
      <c r="C308" s="110">
        <v>5235020</v>
      </c>
      <c r="D308" s="265" t="s">
        <v>221</v>
      </c>
      <c r="E308" s="114"/>
      <c r="F308" s="110">
        <v>796</v>
      </c>
      <c r="G308" s="81" t="s">
        <v>17</v>
      </c>
      <c r="H308" s="81">
        <v>35</v>
      </c>
      <c r="I308" s="151">
        <v>98401</v>
      </c>
      <c r="J308" s="83" t="s">
        <v>429</v>
      </c>
      <c r="K308" s="83">
        <v>203000</v>
      </c>
      <c r="L308" s="246" t="str">
        <f t="shared" si="41"/>
        <v>1 квартал 2012</v>
      </c>
      <c r="M308" s="249"/>
      <c r="N308" s="255"/>
      <c r="O308" s="83"/>
      <c r="P308" s="83">
        <v>8</v>
      </c>
      <c r="Q308" s="83">
        <v>46400</v>
      </c>
      <c r="R308" s="83">
        <v>9</v>
      </c>
      <c r="S308" s="83">
        <v>52200</v>
      </c>
      <c r="T308" s="83">
        <v>9</v>
      </c>
      <c r="U308" s="83">
        <v>52200</v>
      </c>
      <c r="V308" s="83">
        <v>9</v>
      </c>
      <c r="W308" s="83">
        <v>52200</v>
      </c>
      <c r="X308" s="167"/>
      <c r="Z308" s="237">
        <f t="shared" si="37"/>
        <v>0</v>
      </c>
    </row>
    <row r="309" spans="1:26" s="141" customFormat="1" x14ac:dyDescent="0.25">
      <c r="A309" s="186">
        <v>26.11</v>
      </c>
      <c r="B309" s="165" t="s">
        <v>410</v>
      </c>
      <c r="C309" s="110">
        <v>5235020</v>
      </c>
      <c r="D309" s="265" t="s">
        <v>222</v>
      </c>
      <c r="E309" s="114"/>
      <c r="F309" s="110">
        <v>796</v>
      </c>
      <c r="G309" s="81" t="s">
        <v>17</v>
      </c>
      <c r="H309" s="81">
        <v>1</v>
      </c>
      <c r="I309" s="151">
        <v>98401</v>
      </c>
      <c r="J309" s="83" t="s">
        <v>429</v>
      </c>
      <c r="K309" s="83">
        <v>43000</v>
      </c>
      <c r="L309" s="246" t="str">
        <f t="shared" si="41"/>
        <v>1 квартал 2012</v>
      </c>
      <c r="M309" s="249"/>
      <c r="N309" s="255"/>
      <c r="O309" s="83"/>
      <c r="P309" s="83">
        <v>1</v>
      </c>
      <c r="Q309" s="83">
        <v>43000</v>
      </c>
      <c r="R309" s="83"/>
      <c r="S309" s="83"/>
      <c r="T309" s="83"/>
      <c r="U309" s="83"/>
      <c r="V309" s="83"/>
      <c r="W309" s="83"/>
      <c r="X309" s="167"/>
      <c r="Z309" s="237">
        <f t="shared" si="37"/>
        <v>0</v>
      </c>
    </row>
    <row r="310" spans="1:26" s="141" customFormat="1" x14ac:dyDescent="0.25">
      <c r="A310" s="186">
        <v>26.12</v>
      </c>
      <c r="B310" s="165" t="s">
        <v>410</v>
      </c>
      <c r="C310" s="110">
        <v>5235020</v>
      </c>
      <c r="D310" s="265" t="s">
        <v>223</v>
      </c>
      <c r="E310" s="114"/>
      <c r="F310" s="110">
        <v>796</v>
      </c>
      <c r="G310" s="81" t="s">
        <v>17</v>
      </c>
      <c r="H310" s="81">
        <v>1</v>
      </c>
      <c r="I310" s="151">
        <v>98401</v>
      </c>
      <c r="J310" s="83" t="s">
        <v>429</v>
      </c>
      <c r="K310" s="83">
        <v>50000</v>
      </c>
      <c r="L310" s="246" t="str">
        <f t="shared" si="41"/>
        <v>3 квартал 2012</v>
      </c>
      <c r="M310" s="249"/>
      <c r="N310" s="255"/>
      <c r="O310" s="83"/>
      <c r="P310" s="191"/>
      <c r="Q310" s="191"/>
      <c r="R310" s="83"/>
      <c r="S310" s="83"/>
      <c r="T310" s="83">
        <v>1</v>
      </c>
      <c r="U310" s="83">
        <v>50000</v>
      </c>
      <c r="V310" s="83"/>
      <c r="W310" s="83"/>
      <c r="X310" s="167"/>
      <c r="Z310" s="237">
        <f t="shared" si="37"/>
        <v>0</v>
      </c>
    </row>
    <row r="311" spans="1:26" s="141" customFormat="1" ht="24.75" x14ac:dyDescent="0.25">
      <c r="A311" s="186">
        <v>26.13</v>
      </c>
      <c r="B311" s="165" t="s">
        <v>410</v>
      </c>
      <c r="C311" s="110">
        <v>5235020</v>
      </c>
      <c r="D311" s="265" t="s">
        <v>224</v>
      </c>
      <c r="E311" s="114"/>
      <c r="F311" s="110">
        <v>796</v>
      </c>
      <c r="G311" s="81" t="s">
        <v>17</v>
      </c>
      <c r="H311" s="81">
        <v>30</v>
      </c>
      <c r="I311" s="151">
        <v>98401</v>
      </c>
      <c r="J311" s="83" t="s">
        <v>429</v>
      </c>
      <c r="K311" s="83">
        <v>300000</v>
      </c>
      <c r="L311" s="246" t="str">
        <f t="shared" si="41"/>
        <v>4 квартал 2012</v>
      </c>
      <c r="M311" s="245">
        <v>41244</v>
      </c>
      <c r="N311" s="255"/>
      <c r="O311" s="83"/>
      <c r="P311" s="83"/>
      <c r="Q311" s="83"/>
      <c r="R311" s="83"/>
      <c r="S311" s="83"/>
      <c r="T311" s="83"/>
      <c r="U311" s="83"/>
      <c r="V311" s="83">
        <v>30</v>
      </c>
      <c r="W311" s="83">
        <v>300000</v>
      </c>
      <c r="X311" s="167"/>
      <c r="Z311" s="237">
        <f t="shared" si="37"/>
        <v>0</v>
      </c>
    </row>
    <row r="312" spans="1:26" s="141" customFormat="1" x14ac:dyDescent="0.25">
      <c r="A312" s="186">
        <v>26.14</v>
      </c>
      <c r="B312" s="165" t="s">
        <v>410</v>
      </c>
      <c r="C312" s="110">
        <v>5235020</v>
      </c>
      <c r="D312" s="265" t="s">
        <v>225</v>
      </c>
      <c r="E312" s="114"/>
      <c r="F312" s="110">
        <v>796</v>
      </c>
      <c r="G312" s="81" t="s">
        <v>17</v>
      </c>
      <c r="H312" s="81">
        <v>1</v>
      </c>
      <c r="I312" s="151">
        <v>98401</v>
      </c>
      <c r="J312" s="83" t="s">
        <v>429</v>
      </c>
      <c r="K312" s="83">
        <v>122000</v>
      </c>
      <c r="L312" s="246" t="str">
        <f t="shared" si="41"/>
        <v>3 квартал 2012</v>
      </c>
      <c r="M312" s="249"/>
      <c r="N312" s="255"/>
      <c r="O312" s="83"/>
      <c r="P312" s="191"/>
      <c r="Q312" s="191"/>
      <c r="R312" s="83"/>
      <c r="S312" s="83"/>
      <c r="T312" s="83">
        <v>1</v>
      </c>
      <c r="U312" s="83">
        <v>122000</v>
      </c>
      <c r="V312" s="83"/>
      <c r="W312" s="83"/>
      <c r="X312" s="167"/>
      <c r="Z312" s="237">
        <f t="shared" si="37"/>
        <v>0</v>
      </c>
    </row>
    <row r="313" spans="1:26" s="141" customFormat="1" x14ac:dyDescent="0.25">
      <c r="A313" s="186">
        <v>26.15</v>
      </c>
      <c r="B313" s="165" t="s">
        <v>410</v>
      </c>
      <c r="C313" s="110">
        <v>5235020</v>
      </c>
      <c r="D313" s="265" t="s">
        <v>226</v>
      </c>
      <c r="E313" s="114"/>
      <c r="F313" s="110">
        <v>796</v>
      </c>
      <c r="G313" s="81" t="s">
        <v>17</v>
      </c>
      <c r="H313" s="81">
        <v>1</v>
      </c>
      <c r="I313" s="151">
        <v>98401</v>
      </c>
      <c r="J313" s="83" t="s">
        <v>429</v>
      </c>
      <c r="K313" s="83">
        <v>120000</v>
      </c>
      <c r="L313" s="246" t="str">
        <f t="shared" si="41"/>
        <v>3 квартал 2012</v>
      </c>
      <c r="M313" s="249"/>
      <c r="N313" s="255"/>
      <c r="O313" s="83"/>
      <c r="P313" s="191"/>
      <c r="Q313" s="191"/>
      <c r="R313" s="83"/>
      <c r="S313" s="83"/>
      <c r="T313" s="83">
        <v>1</v>
      </c>
      <c r="U313" s="83">
        <v>120000</v>
      </c>
      <c r="V313" s="83"/>
      <c r="W313" s="83"/>
      <c r="X313" s="167"/>
      <c r="Z313" s="237">
        <f t="shared" si="37"/>
        <v>0</v>
      </c>
    </row>
    <row r="314" spans="1:26" s="141" customFormat="1" ht="36.75" x14ac:dyDescent="0.25">
      <c r="A314" s="186">
        <v>26.16</v>
      </c>
      <c r="B314" s="165" t="s">
        <v>410</v>
      </c>
      <c r="C314" s="110">
        <v>5235020</v>
      </c>
      <c r="D314" s="265" t="s">
        <v>227</v>
      </c>
      <c r="E314" s="114"/>
      <c r="F314" s="110">
        <v>796</v>
      </c>
      <c r="G314" s="81" t="s">
        <v>17</v>
      </c>
      <c r="H314" s="81">
        <v>1</v>
      </c>
      <c r="I314" s="151">
        <v>98401</v>
      </c>
      <c r="J314" s="83" t="s">
        <v>429</v>
      </c>
      <c r="K314" s="83">
        <v>7500</v>
      </c>
      <c r="L314" s="246" t="str">
        <f t="shared" si="41"/>
        <v>1 квартал 2012</v>
      </c>
      <c r="M314" s="249"/>
      <c r="N314" s="255"/>
      <c r="O314" s="83"/>
      <c r="P314" s="83">
        <v>1</v>
      </c>
      <c r="Q314" s="83">
        <v>7500</v>
      </c>
      <c r="R314" s="191"/>
      <c r="S314" s="83"/>
      <c r="T314" s="83"/>
      <c r="U314" s="83"/>
      <c r="V314" s="83"/>
      <c r="W314" s="83"/>
      <c r="X314" s="167"/>
      <c r="Z314" s="237">
        <f t="shared" si="37"/>
        <v>0</v>
      </c>
    </row>
    <row r="315" spans="1:26" s="141" customFormat="1" ht="24.75" x14ac:dyDescent="0.25">
      <c r="A315" s="186">
        <v>26.17</v>
      </c>
      <c r="B315" s="165" t="s">
        <v>410</v>
      </c>
      <c r="C315" s="110">
        <v>5235020</v>
      </c>
      <c r="D315" s="265" t="s">
        <v>228</v>
      </c>
      <c r="E315" s="114"/>
      <c r="F315" s="110">
        <v>796</v>
      </c>
      <c r="G315" s="81" t="s">
        <v>17</v>
      </c>
      <c r="H315" s="81">
        <v>5</v>
      </c>
      <c r="I315" s="151">
        <v>98401</v>
      </c>
      <c r="J315" s="83" t="s">
        <v>429</v>
      </c>
      <c r="K315" s="83">
        <v>25000</v>
      </c>
      <c r="L315" s="246" t="str">
        <f t="shared" si="41"/>
        <v>2 квартал 2012</v>
      </c>
      <c r="M315" s="249"/>
      <c r="N315" s="255"/>
      <c r="O315" s="83"/>
      <c r="P315" s="83"/>
      <c r="Q315" s="83"/>
      <c r="R315" s="83">
        <v>5</v>
      </c>
      <c r="S315" s="83">
        <v>25000</v>
      </c>
      <c r="T315" s="83"/>
      <c r="U315" s="83"/>
      <c r="V315" s="83"/>
      <c r="W315" s="83"/>
      <c r="X315" s="167"/>
      <c r="Z315" s="237">
        <f t="shared" si="37"/>
        <v>0</v>
      </c>
    </row>
    <row r="316" spans="1:26" s="141" customFormat="1" ht="36.75" x14ac:dyDescent="0.25">
      <c r="A316" s="186"/>
      <c r="B316" s="165"/>
      <c r="C316" s="110"/>
      <c r="D316" s="271" t="s">
        <v>481</v>
      </c>
      <c r="E316" s="114" t="s">
        <v>467</v>
      </c>
      <c r="F316" s="110">
        <v>796</v>
      </c>
      <c r="G316" s="81" t="s">
        <v>17</v>
      </c>
      <c r="H316" s="81">
        <f>V316</f>
        <v>1</v>
      </c>
      <c r="I316" s="151">
        <v>98401</v>
      </c>
      <c r="J316" s="83" t="s">
        <v>429</v>
      </c>
      <c r="K316" s="83">
        <f>W316</f>
        <v>140000</v>
      </c>
      <c r="L316" s="246" t="str">
        <f t="shared" si="41"/>
        <v>4 квартал 2012</v>
      </c>
      <c r="M316" s="245">
        <v>41244</v>
      </c>
      <c r="N316" s="255"/>
      <c r="O316" s="83"/>
      <c r="P316" s="83"/>
      <c r="Q316" s="83"/>
      <c r="R316" s="83"/>
      <c r="S316" s="83"/>
      <c r="T316" s="83"/>
      <c r="U316" s="83"/>
      <c r="V316" s="83">
        <v>1</v>
      </c>
      <c r="W316" s="83">
        <v>140000</v>
      </c>
      <c r="X316" s="167"/>
      <c r="Z316" s="237">
        <f t="shared" si="37"/>
        <v>0</v>
      </c>
    </row>
    <row r="317" spans="1:26" s="141" customFormat="1" ht="36.75" x14ac:dyDescent="0.25">
      <c r="A317" s="186"/>
      <c r="B317" s="165"/>
      <c r="C317" s="110"/>
      <c r="D317" s="271" t="s">
        <v>482</v>
      </c>
      <c r="E317" s="114" t="s">
        <v>467</v>
      </c>
      <c r="F317" s="110">
        <v>796</v>
      </c>
      <c r="G317" s="81" t="s">
        <v>17</v>
      </c>
      <c r="H317" s="81">
        <f>V317</f>
        <v>150</v>
      </c>
      <c r="I317" s="151">
        <v>98401</v>
      </c>
      <c r="J317" s="83" t="s">
        <v>429</v>
      </c>
      <c r="K317" s="83">
        <f>W317</f>
        <v>207000</v>
      </c>
      <c r="L317" s="246" t="str">
        <f t="shared" si="41"/>
        <v>4 квартал 2012</v>
      </c>
      <c r="M317" s="245">
        <v>41244</v>
      </c>
      <c r="N317" s="255"/>
      <c r="O317" s="83"/>
      <c r="P317" s="83"/>
      <c r="Q317" s="83"/>
      <c r="R317" s="83"/>
      <c r="S317" s="83"/>
      <c r="T317" s="83"/>
      <c r="U317" s="83"/>
      <c r="V317" s="83">
        <v>150</v>
      </c>
      <c r="W317" s="83">
        <v>207000</v>
      </c>
      <c r="X317" s="167"/>
      <c r="Z317" s="237">
        <f t="shared" si="37"/>
        <v>0</v>
      </c>
    </row>
    <row r="318" spans="1:26" s="141" customFormat="1" x14ac:dyDescent="0.25">
      <c r="A318" s="186">
        <v>26.19</v>
      </c>
      <c r="B318" s="165" t="s">
        <v>410</v>
      </c>
      <c r="C318" s="110">
        <v>5235020</v>
      </c>
      <c r="D318" s="265" t="s">
        <v>230</v>
      </c>
      <c r="E318" s="114"/>
      <c r="F318" s="110">
        <v>796</v>
      </c>
      <c r="G318" s="81" t="s">
        <v>17</v>
      </c>
      <c r="H318" s="81">
        <v>73</v>
      </c>
      <c r="I318" s="151">
        <v>98401</v>
      </c>
      <c r="J318" s="83" t="s">
        <v>429</v>
      </c>
      <c r="K318" s="83">
        <v>729000</v>
      </c>
      <c r="L318" s="246" t="str">
        <f t="shared" si="41"/>
        <v>3 квартал 2012</v>
      </c>
      <c r="M318" s="249"/>
      <c r="N318" s="255"/>
      <c r="O318" s="83"/>
      <c r="P318" s="83"/>
      <c r="Q318" s="83"/>
      <c r="R318" s="83"/>
      <c r="S318" s="83"/>
      <c r="T318" s="83">
        <v>73</v>
      </c>
      <c r="U318" s="83">
        <v>729000</v>
      </c>
      <c r="V318" s="83"/>
      <c r="W318" s="83"/>
      <c r="X318" s="167"/>
      <c r="Z318" s="237">
        <f t="shared" si="37"/>
        <v>0</v>
      </c>
    </row>
    <row r="319" spans="1:26" s="141" customFormat="1" x14ac:dyDescent="0.25">
      <c r="A319" s="186">
        <v>26.2</v>
      </c>
      <c r="B319" s="165" t="s">
        <v>410</v>
      </c>
      <c r="C319" s="110">
        <v>5235020</v>
      </c>
      <c r="D319" s="265" t="s">
        <v>231</v>
      </c>
      <c r="E319" s="114"/>
      <c r="F319" s="110">
        <v>796</v>
      </c>
      <c r="G319" s="81" t="s">
        <v>17</v>
      </c>
      <c r="H319" s="81">
        <v>3</v>
      </c>
      <c r="I319" s="151">
        <v>98401</v>
      </c>
      <c r="J319" s="83" t="s">
        <v>429</v>
      </c>
      <c r="K319" s="83">
        <v>165000</v>
      </c>
      <c r="L319" s="246" t="str">
        <f t="shared" si="41"/>
        <v>3 квартал 2012</v>
      </c>
      <c r="M319" s="249"/>
      <c r="N319" s="255"/>
      <c r="O319" s="83"/>
      <c r="P319" s="83"/>
      <c r="Q319" s="83"/>
      <c r="R319" s="83"/>
      <c r="S319" s="83"/>
      <c r="T319" s="83">
        <v>3</v>
      </c>
      <c r="U319" s="83">
        <v>165000</v>
      </c>
      <c r="V319" s="83"/>
      <c r="W319" s="83"/>
      <c r="X319" s="167"/>
      <c r="Z319" s="237">
        <f t="shared" si="37"/>
        <v>0</v>
      </c>
    </row>
    <row r="320" spans="1:26" s="141" customFormat="1" ht="24.75" x14ac:dyDescent="0.25">
      <c r="A320" s="186">
        <v>26.21</v>
      </c>
      <c r="B320" s="165" t="s">
        <v>410</v>
      </c>
      <c r="C320" s="110">
        <v>5235020</v>
      </c>
      <c r="D320" s="265" t="s">
        <v>232</v>
      </c>
      <c r="E320" s="114"/>
      <c r="F320" s="110">
        <v>796</v>
      </c>
      <c r="G320" s="81" t="s">
        <v>17</v>
      </c>
      <c r="H320" s="81">
        <v>1</v>
      </c>
      <c r="I320" s="151">
        <v>98401</v>
      </c>
      <c r="J320" s="83" t="s">
        <v>429</v>
      </c>
      <c r="K320" s="83">
        <v>1600000</v>
      </c>
      <c r="L320" s="246" t="str">
        <f t="shared" si="41"/>
        <v>4 квартал 2012</v>
      </c>
      <c r="M320" s="245">
        <v>41244</v>
      </c>
      <c r="N320" s="255"/>
      <c r="O320" s="83"/>
      <c r="P320" s="83"/>
      <c r="Q320" s="83"/>
      <c r="R320" s="83"/>
      <c r="S320" s="83"/>
      <c r="T320" s="83"/>
      <c r="U320" s="83"/>
      <c r="V320" s="83">
        <v>1</v>
      </c>
      <c r="W320" s="83">
        <v>1600000</v>
      </c>
      <c r="X320" s="167"/>
      <c r="Z320" s="237">
        <f t="shared" si="37"/>
        <v>0</v>
      </c>
    </row>
    <row r="321" spans="1:26" s="141" customFormat="1" x14ac:dyDescent="0.25">
      <c r="A321" s="186">
        <v>26.22</v>
      </c>
      <c r="B321" s="165" t="s">
        <v>410</v>
      </c>
      <c r="C321" s="110">
        <v>5235020</v>
      </c>
      <c r="D321" s="265" t="s">
        <v>352</v>
      </c>
      <c r="E321" s="114"/>
      <c r="F321" s="114"/>
      <c r="G321" s="81"/>
      <c r="H321" s="81">
        <f>T321</f>
        <v>150</v>
      </c>
      <c r="I321" s="151">
        <v>98401</v>
      </c>
      <c r="J321" s="83" t="s">
        <v>429</v>
      </c>
      <c r="K321" s="83">
        <f>U321</f>
        <v>90000</v>
      </c>
      <c r="L321" s="246" t="str">
        <f t="shared" si="41"/>
        <v>3 квартал 2012</v>
      </c>
      <c r="M321" s="249"/>
      <c r="N321" s="255"/>
      <c r="O321" s="83"/>
      <c r="P321" s="83"/>
      <c r="Q321" s="83"/>
      <c r="R321" s="83"/>
      <c r="S321" s="83"/>
      <c r="T321" s="83">
        <v>150</v>
      </c>
      <c r="U321" s="83">
        <v>90000</v>
      </c>
      <c r="V321" s="83"/>
      <c r="W321" s="83"/>
      <c r="X321" s="167"/>
      <c r="Z321" s="237">
        <f t="shared" si="37"/>
        <v>0</v>
      </c>
    </row>
    <row r="322" spans="1:26" s="141" customFormat="1" ht="24.75" x14ac:dyDescent="0.25">
      <c r="A322" s="186">
        <v>26.23</v>
      </c>
      <c r="B322" s="165" t="s">
        <v>410</v>
      </c>
      <c r="C322" s="110">
        <v>5235020</v>
      </c>
      <c r="D322" s="265" t="s">
        <v>355</v>
      </c>
      <c r="E322" s="114"/>
      <c r="F322" s="114"/>
      <c r="G322" s="81"/>
      <c r="H322" s="81">
        <v>1</v>
      </c>
      <c r="I322" s="151">
        <v>98401</v>
      </c>
      <c r="J322" s="83" t="s">
        <v>429</v>
      </c>
      <c r="K322" s="83">
        <v>100000</v>
      </c>
      <c r="L322" s="246" t="str">
        <f t="shared" si="41"/>
        <v>1 квартал 2012</v>
      </c>
      <c r="M322" s="249"/>
      <c r="N322" s="255"/>
      <c r="O322" s="83"/>
      <c r="P322" s="83">
        <v>1</v>
      </c>
      <c r="Q322" s="83">
        <v>100000</v>
      </c>
      <c r="R322" s="83"/>
      <c r="S322" s="83"/>
      <c r="T322" s="83"/>
      <c r="U322" s="83"/>
      <c r="V322" s="83"/>
      <c r="W322" s="83"/>
      <c r="X322" s="167"/>
      <c r="Z322" s="237">
        <f t="shared" si="37"/>
        <v>0</v>
      </c>
    </row>
    <row r="323" spans="1:26" s="230" customFormat="1" ht="14.25" x14ac:dyDescent="0.2">
      <c r="A323" s="232">
        <v>27</v>
      </c>
      <c r="B323" s="156"/>
      <c r="C323" s="157"/>
      <c r="D323" s="264" t="s">
        <v>492</v>
      </c>
      <c r="E323" s="159"/>
      <c r="F323" s="159"/>
      <c r="G323" s="160"/>
      <c r="H323" s="160"/>
      <c r="I323" s="161"/>
      <c r="J323" s="162"/>
      <c r="K323" s="162">
        <f>SUM(K324:K412)</f>
        <v>905508.95000000007</v>
      </c>
      <c r="L323" s="244"/>
      <c r="M323" s="244"/>
      <c r="N323" s="254"/>
      <c r="O323" s="162"/>
      <c r="P323" s="162">
        <f t="shared" ref="P323:W323" si="42">SUM(P324:P412)</f>
        <v>656</v>
      </c>
      <c r="Q323" s="162">
        <f t="shared" si="42"/>
        <v>85951</v>
      </c>
      <c r="R323" s="162">
        <f t="shared" si="42"/>
        <v>13666</v>
      </c>
      <c r="S323" s="162">
        <f t="shared" si="42"/>
        <v>210202.5</v>
      </c>
      <c r="T323" s="162">
        <f t="shared" si="42"/>
        <v>4940</v>
      </c>
      <c r="U323" s="162">
        <f t="shared" si="42"/>
        <v>163168</v>
      </c>
      <c r="V323" s="162">
        <f t="shared" si="42"/>
        <v>12317</v>
      </c>
      <c r="W323" s="162">
        <f t="shared" si="42"/>
        <v>446187.44999999995</v>
      </c>
      <c r="X323" s="163"/>
      <c r="Y323" s="231"/>
      <c r="Z323" s="237">
        <f t="shared" si="37"/>
        <v>0</v>
      </c>
    </row>
    <row r="324" spans="1:26" s="141" customFormat="1" x14ac:dyDescent="0.25">
      <c r="A324" s="186">
        <v>27.1</v>
      </c>
      <c r="B324" s="165" t="s">
        <v>412</v>
      </c>
      <c r="C324" s="110">
        <v>2109020</v>
      </c>
      <c r="D324" s="274" t="s">
        <v>234</v>
      </c>
      <c r="E324" s="11"/>
      <c r="F324" s="110">
        <v>796</v>
      </c>
      <c r="G324" s="81" t="s">
        <v>17</v>
      </c>
      <c r="H324" s="129">
        <v>42</v>
      </c>
      <c r="I324" s="151">
        <v>98401</v>
      </c>
      <c r="J324" s="83" t="s">
        <v>429</v>
      </c>
      <c r="K324" s="24">
        <v>1110.9000000000001</v>
      </c>
      <c r="L324" s="246" t="str">
        <f t="shared" ref="L324:L387" si="43">IF(Q324&gt;0,"1 квартал 2012",IF(S324&gt;0,"2 квартал 2012",IF(U324&gt;0,"3 квартал 2012","4 квартал 2012")))</f>
        <v>4 квартал 2012</v>
      </c>
      <c r="M324" s="245">
        <v>41244</v>
      </c>
      <c r="N324" s="257"/>
      <c r="O324" s="24"/>
      <c r="P324" s="211"/>
      <c r="Q324" s="83"/>
      <c r="R324" s="211"/>
      <c r="S324" s="83"/>
      <c r="T324" s="83"/>
      <c r="U324" s="83"/>
      <c r="V324" s="83">
        <v>42</v>
      </c>
      <c r="W324" s="83">
        <v>1110.9000000000001</v>
      </c>
      <c r="X324" s="167"/>
      <c r="Z324" s="237">
        <f t="shared" si="37"/>
        <v>0</v>
      </c>
    </row>
    <row r="325" spans="1:26" s="141" customFormat="1" x14ac:dyDescent="0.25">
      <c r="A325" s="186">
        <v>27.2</v>
      </c>
      <c r="B325" s="165" t="s">
        <v>412</v>
      </c>
      <c r="C325" s="110">
        <v>2109020</v>
      </c>
      <c r="D325" s="275" t="s">
        <v>235</v>
      </c>
      <c r="E325" s="213"/>
      <c r="F325" s="110">
        <v>796</v>
      </c>
      <c r="G325" s="81" t="s">
        <v>17</v>
      </c>
      <c r="H325" s="129">
        <v>70</v>
      </c>
      <c r="I325" s="151">
        <v>98401</v>
      </c>
      <c r="J325" s="83" t="s">
        <v>429</v>
      </c>
      <c r="K325" s="24">
        <v>1400</v>
      </c>
      <c r="L325" s="246" t="str">
        <f t="shared" si="43"/>
        <v>1 квартал 2012</v>
      </c>
      <c r="M325" s="248"/>
      <c r="N325" s="257"/>
      <c r="O325" s="24"/>
      <c r="P325" s="211">
        <v>50</v>
      </c>
      <c r="Q325" s="83">
        <v>1000</v>
      </c>
      <c r="R325" s="83">
        <v>20</v>
      </c>
      <c r="S325" s="83">
        <v>400</v>
      </c>
      <c r="T325" s="83"/>
      <c r="U325" s="83"/>
      <c r="V325" s="83">
        <v>0</v>
      </c>
      <c r="W325" s="83">
        <v>0</v>
      </c>
      <c r="X325" s="167"/>
      <c r="Z325" s="237">
        <f t="shared" si="37"/>
        <v>0</v>
      </c>
    </row>
    <row r="326" spans="1:26" s="141" customFormat="1" x14ac:dyDescent="0.25">
      <c r="A326" s="186">
        <v>27.3</v>
      </c>
      <c r="B326" s="165" t="s">
        <v>412</v>
      </c>
      <c r="C326" s="110">
        <v>2109020</v>
      </c>
      <c r="D326" s="275" t="s">
        <v>236</v>
      </c>
      <c r="E326" s="213"/>
      <c r="F326" s="110">
        <v>796</v>
      </c>
      <c r="G326" s="81" t="s">
        <v>17</v>
      </c>
      <c r="H326" s="129">
        <v>6</v>
      </c>
      <c r="I326" s="151">
        <v>98401</v>
      </c>
      <c r="J326" s="83" t="s">
        <v>429</v>
      </c>
      <c r="K326" s="24">
        <v>210</v>
      </c>
      <c r="L326" s="246" t="str">
        <f t="shared" si="43"/>
        <v>4 квартал 2012</v>
      </c>
      <c r="M326" s="245">
        <v>41244</v>
      </c>
      <c r="N326" s="257"/>
      <c r="O326" s="24"/>
      <c r="P326" s="211"/>
      <c r="Q326" s="83"/>
      <c r="R326" s="83"/>
      <c r="S326" s="83"/>
      <c r="T326" s="83"/>
      <c r="U326" s="83"/>
      <c r="V326" s="83">
        <v>6</v>
      </c>
      <c r="W326" s="83">
        <v>210</v>
      </c>
      <c r="X326" s="167"/>
      <c r="Z326" s="237">
        <f t="shared" si="37"/>
        <v>0</v>
      </c>
    </row>
    <row r="327" spans="1:26" s="141" customFormat="1" x14ac:dyDescent="0.25">
      <c r="A327" s="186">
        <v>27.4</v>
      </c>
      <c r="B327" s="165" t="s">
        <v>412</v>
      </c>
      <c r="C327" s="110">
        <v>2109020</v>
      </c>
      <c r="D327" s="275" t="s">
        <v>512</v>
      </c>
      <c r="E327" s="213"/>
      <c r="F327" s="110">
        <v>796</v>
      </c>
      <c r="G327" s="81" t="s">
        <v>17</v>
      </c>
      <c r="H327" s="129">
        <v>360</v>
      </c>
      <c r="I327" s="151">
        <v>98401</v>
      </c>
      <c r="J327" s="83" t="s">
        <v>429</v>
      </c>
      <c r="K327" s="24">
        <v>10080</v>
      </c>
      <c r="L327" s="246" t="str">
        <f t="shared" si="43"/>
        <v>2 квартал 2012</v>
      </c>
      <c r="M327" s="248"/>
      <c r="N327" s="257"/>
      <c r="O327" s="24"/>
      <c r="P327" s="211"/>
      <c r="Q327" s="83"/>
      <c r="R327" s="83">
        <v>120</v>
      </c>
      <c r="S327" s="83">
        <v>4560</v>
      </c>
      <c r="T327" s="83">
        <v>120</v>
      </c>
      <c r="U327" s="83">
        <v>4560</v>
      </c>
      <c r="V327" s="83">
        <v>120</v>
      </c>
      <c r="W327" s="83">
        <v>960</v>
      </c>
      <c r="X327" s="167"/>
      <c r="Z327" s="237">
        <f t="shared" si="37"/>
        <v>0</v>
      </c>
    </row>
    <row r="328" spans="1:26" s="141" customFormat="1" x14ac:dyDescent="0.25">
      <c r="A328" s="186">
        <v>27.5</v>
      </c>
      <c r="B328" s="165" t="s">
        <v>412</v>
      </c>
      <c r="C328" s="110">
        <v>2109020</v>
      </c>
      <c r="D328" s="275" t="s">
        <v>513</v>
      </c>
      <c r="E328" s="213"/>
      <c r="F328" s="110">
        <v>796</v>
      </c>
      <c r="G328" s="81" t="s">
        <v>17</v>
      </c>
      <c r="H328" s="129">
        <v>10</v>
      </c>
      <c r="I328" s="151">
        <v>98401</v>
      </c>
      <c r="J328" s="83" t="s">
        <v>429</v>
      </c>
      <c r="K328" s="24">
        <v>380</v>
      </c>
      <c r="L328" s="246" t="str">
        <f t="shared" si="43"/>
        <v>4 квартал 2012</v>
      </c>
      <c r="M328" s="245">
        <v>41244</v>
      </c>
      <c r="N328" s="257"/>
      <c r="O328" s="24"/>
      <c r="P328" s="211"/>
      <c r="Q328" s="83"/>
      <c r="R328" s="83"/>
      <c r="S328" s="83"/>
      <c r="T328" s="83"/>
      <c r="U328" s="83"/>
      <c r="V328" s="83">
        <v>10</v>
      </c>
      <c r="W328" s="83">
        <v>380</v>
      </c>
      <c r="X328" s="167"/>
      <c r="Z328" s="237">
        <f t="shared" si="37"/>
        <v>0</v>
      </c>
    </row>
    <row r="329" spans="1:26" s="141" customFormat="1" x14ac:dyDescent="0.25">
      <c r="A329" s="186">
        <v>27.6</v>
      </c>
      <c r="B329" s="165" t="s">
        <v>412</v>
      </c>
      <c r="C329" s="110">
        <v>2109020</v>
      </c>
      <c r="D329" s="275" t="s">
        <v>514</v>
      </c>
      <c r="E329" s="213"/>
      <c r="F329" s="110">
        <v>796</v>
      </c>
      <c r="G329" s="81" t="s">
        <v>17</v>
      </c>
      <c r="H329" s="129">
        <v>20</v>
      </c>
      <c r="I329" s="151">
        <v>98401</v>
      </c>
      <c r="J329" s="83" t="s">
        <v>429</v>
      </c>
      <c r="K329" s="24">
        <v>2240</v>
      </c>
      <c r="L329" s="246" t="str">
        <f t="shared" si="43"/>
        <v>4 квартал 2012</v>
      </c>
      <c r="M329" s="245">
        <v>41244</v>
      </c>
      <c r="N329" s="257"/>
      <c r="O329" s="24"/>
      <c r="P329" s="211"/>
      <c r="Q329" s="83"/>
      <c r="R329" s="83"/>
      <c r="S329" s="83"/>
      <c r="T329" s="83"/>
      <c r="U329" s="83"/>
      <c r="V329" s="83">
        <v>20</v>
      </c>
      <c r="W329" s="83">
        <v>2240</v>
      </c>
      <c r="X329" s="167"/>
      <c r="Z329" s="237">
        <f t="shared" si="37"/>
        <v>0</v>
      </c>
    </row>
    <row r="330" spans="1:26" s="141" customFormat="1" x14ac:dyDescent="0.25">
      <c r="A330" s="186">
        <v>27.7</v>
      </c>
      <c r="B330" s="165" t="s">
        <v>412</v>
      </c>
      <c r="C330" s="110">
        <v>2109020</v>
      </c>
      <c r="D330" s="275" t="s">
        <v>240</v>
      </c>
      <c r="E330" s="213"/>
      <c r="F330" s="110">
        <v>796</v>
      </c>
      <c r="G330" s="81" t="s">
        <v>241</v>
      </c>
      <c r="H330" s="129">
        <v>55</v>
      </c>
      <c r="I330" s="151">
        <v>98401</v>
      </c>
      <c r="J330" s="83" t="s">
        <v>429</v>
      </c>
      <c r="K330" s="24">
        <v>17600</v>
      </c>
      <c r="L330" s="246" t="str">
        <f t="shared" si="43"/>
        <v>2 квартал 2012</v>
      </c>
      <c r="M330" s="248"/>
      <c r="N330" s="257"/>
      <c r="O330" s="24"/>
      <c r="P330" s="211"/>
      <c r="Q330" s="83"/>
      <c r="R330" s="83">
        <v>20</v>
      </c>
      <c r="S330" s="83">
        <v>6400</v>
      </c>
      <c r="T330" s="83"/>
      <c r="U330" s="83"/>
      <c r="V330" s="83">
        <v>35</v>
      </c>
      <c r="W330" s="83">
        <v>11200</v>
      </c>
      <c r="X330" s="167"/>
      <c r="Z330" s="237">
        <f t="shared" si="37"/>
        <v>0</v>
      </c>
    </row>
    <row r="331" spans="1:26" s="141" customFormat="1" x14ac:dyDescent="0.25">
      <c r="A331" s="186">
        <v>27.8</v>
      </c>
      <c r="B331" s="165" t="s">
        <v>412</v>
      </c>
      <c r="C331" s="110">
        <v>2109020</v>
      </c>
      <c r="D331" s="275" t="s">
        <v>242</v>
      </c>
      <c r="E331" s="213"/>
      <c r="F331" s="110">
        <v>796</v>
      </c>
      <c r="G331" s="81" t="s">
        <v>241</v>
      </c>
      <c r="H331" s="129">
        <v>2137</v>
      </c>
      <c r="I331" s="151">
        <v>98401</v>
      </c>
      <c r="J331" s="83" t="s">
        <v>429</v>
      </c>
      <c r="K331" s="24">
        <v>346194</v>
      </c>
      <c r="L331" s="246" t="str">
        <f t="shared" si="43"/>
        <v>1 квартал 2012</v>
      </c>
      <c r="M331" s="248"/>
      <c r="N331" s="257"/>
      <c r="O331" s="24"/>
      <c r="P331" s="211">
        <v>500</v>
      </c>
      <c r="Q331" s="83">
        <v>81000</v>
      </c>
      <c r="R331" s="83">
        <v>300</v>
      </c>
      <c r="S331" s="83">
        <v>48600</v>
      </c>
      <c r="T331" s="83">
        <v>500</v>
      </c>
      <c r="U331" s="83">
        <v>81000</v>
      </c>
      <c r="V331" s="83">
        <v>837</v>
      </c>
      <c r="W331" s="83">
        <v>135594</v>
      </c>
      <c r="X331" s="167"/>
      <c r="Z331" s="237">
        <f t="shared" si="37"/>
        <v>0</v>
      </c>
    </row>
    <row r="332" spans="1:26" s="141" customFormat="1" x14ac:dyDescent="0.25">
      <c r="A332" s="186">
        <v>27.9</v>
      </c>
      <c r="B332" s="165" t="s">
        <v>412</v>
      </c>
      <c r="C332" s="110">
        <v>2109020</v>
      </c>
      <c r="D332" s="275" t="s">
        <v>243</v>
      </c>
      <c r="E332" s="213"/>
      <c r="F332" s="110">
        <v>796</v>
      </c>
      <c r="G332" s="81" t="s">
        <v>17</v>
      </c>
      <c r="H332" s="129">
        <v>4</v>
      </c>
      <c r="I332" s="151">
        <v>98401</v>
      </c>
      <c r="J332" s="83" t="s">
        <v>429</v>
      </c>
      <c r="K332" s="24">
        <v>680</v>
      </c>
      <c r="L332" s="246" t="str">
        <f t="shared" si="43"/>
        <v>4 квартал 2012</v>
      </c>
      <c r="M332" s="245">
        <v>41244</v>
      </c>
      <c r="N332" s="257"/>
      <c r="O332" s="24"/>
      <c r="P332" s="211"/>
      <c r="Q332" s="83"/>
      <c r="R332" s="83"/>
      <c r="S332" s="83"/>
      <c r="T332" s="83"/>
      <c r="U332" s="83"/>
      <c r="V332" s="83">
        <v>4</v>
      </c>
      <c r="W332" s="83">
        <v>680</v>
      </c>
      <c r="X332" s="167"/>
      <c r="Z332" s="237">
        <f t="shared" si="37"/>
        <v>0</v>
      </c>
    </row>
    <row r="333" spans="1:26" s="141" customFormat="1" ht="24.75" x14ac:dyDescent="0.25">
      <c r="A333" s="186">
        <v>27.1</v>
      </c>
      <c r="B333" s="165" t="s">
        <v>412</v>
      </c>
      <c r="C333" s="110">
        <v>2109020</v>
      </c>
      <c r="D333" s="275" t="s">
        <v>244</v>
      </c>
      <c r="E333" s="213"/>
      <c r="F333" s="110">
        <v>796</v>
      </c>
      <c r="G333" s="81" t="s">
        <v>17</v>
      </c>
      <c r="H333" s="129">
        <v>5</v>
      </c>
      <c r="I333" s="151">
        <v>98401</v>
      </c>
      <c r="J333" s="83" t="s">
        <v>429</v>
      </c>
      <c r="K333" s="24">
        <v>1150</v>
      </c>
      <c r="L333" s="246" t="str">
        <f t="shared" si="43"/>
        <v>4 квартал 2012</v>
      </c>
      <c r="M333" s="245">
        <v>41244</v>
      </c>
      <c r="N333" s="257"/>
      <c r="O333" s="24"/>
      <c r="P333" s="211"/>
      <c r="Q333" s="83"/>
      <c r="R333" s="83"/>
      <c r="S333" s="83"/>
      <c r="T333" s="83"/>
      <c r="U333" s="83"/>
      <c r="V333" s="83">
        <v>5</v>
      </c>
      <c r="W333" s="83">
        <v>1150</v>
      </c>
      <c r="X333" s="167"/>
      <c r="Z333" s="237">
        <f t="shared" si="37"/>
        <v>0</v>
      </c>
    </row>
    <row r="334" spans="1:26" s="141" customFormat="1" x14ac:dyDescent="0.25">
      <c r="A334" s="186">
        <v>27.11</v>
      </c>
      <c r="B334" s="165" t="s">
        <v>412</v>
      </c>
      <c r="C334" s="110">
        <v>2109020</v>
      </c>
      <c r="D334" s="274" t="s">
        <v>245</v>
      </c>
      <c r="E334" s="11"/>
      <c r="F334" s="110">
        <v>796</v>
      </c>
      <c r="G334" s="81" t="s">
        <v>17</v>
      </c>
      <c r="H334" s="129">
        <v>19</v>
      </c>
      <c r="I334" s="151">
        <v>98401</v>
      </c>
      <c r="J334" s="83" t="s">
        <v>429</v>
      </c>
      <c r="K334" s="24">
        <v>22800</v>
      </c>
      <c r="L334" s="246" t="str">
        <f t="shared" si="43"/>
        <v>2 квартал 2012</v>
      </c>
      <c r="M334" s="248"/>
      <c r="N334" s="257"/>
      <c r="O334" s="24"/>
      <c r="P334" s="211"/>
      <c r="Q334" s="83"/>
      <c r="R334" s="83">
        <v>10</v>
      </c>
      <c r="S334" s="83">
        <v>12000</v>
      </c>
      <c r="T334" s="83"/>
      <c r="U334" s="83"/>
      <c r="V334" s="83">
        <v>9</v>
      </c>
      <c r="W334" s="83">
        <v>10800</v>
      </c>
      <c r="X334" s="167"/>
      <c r="Z334" s="237">
        <f t="shared" si="37"/>
        <v>0</v>
      </c>
    </row>
    <row r="335" spans="1:26" s="141" customFormat="1" x14ac:dyDescent="0.25">
      <c r="A335" s="186">
        <v>27.12</v>
      </c>
      <c r="B335" s="165" t="s">
        <v>412</v>
      </c>
      <c r="C335" s="110">
        <v>2109020</v>
      </c>
      <c r="D335" s="275" t="s">
        <v>246</v>
      </c>
      <c r="E335" s="213"/>
      <c r="F335" s="110">
        <v>796</v>
      </c>
      <c r="G335" s="81" t="s">
        <v>17</v>
      </c>
      <c r="H335" s="129">
        <v>150</v>
      </c>
      <c r="I335" s="151">
        <v>98401</v>
      </c>
      <c r="J335" s="83" t="s">
        <v>429</v>
      </c>
      <c r="K335" s="24">
        <v>10620</v>
      </c>
      <c r="L335" s="246" t="str">
        <f t="shared" si="43"/>
        <v>2 квартал 2012</v>
      </c>
      <c r="M335" s="248"/>
      <c r="N335" s="257"/>
      <c r="O335" s="24"/>
      <c r="P335" s="211"/>
      <c r="Q335" s="83"/>
      <c r="R335" s="83">
        <v>150</v>
      </c>
      <c r="S335" s="83">
        <v>10620</v>
      </c>
      <c r="T335" s="83"/>
      <c r="U335" s="83"/>
      <c r="V335" s="83">
        <v>0</v>
      </c>
      <c r="W335" s="83">
        <v>0</v>
      </c>
      <c r="X335" s="167"/>
      <c r="Z335" s="237">
        <f t="shared" si="37"/>
        <v>0</v>
      </c>
    </row>
    <row r="336" spans="1:26" s="141" customFormat="1" ht="24.75" x14ac:dyDescent="0.25">
      <c r="A336" s="186">
        <v>27.13</v>
      </c>
      <c r="B336" s="165" t="s">
        <v>412</v>
      </c>
      <c r="C336" s="110">
        <v>2109020</v>
      </c>
      <c r="D336" s="266" t="s">
        <v>247</v>
      </c>
      <c r="E336" s="213"/>
      <c r="F336" s="110">
        <v>796</v>
      </c>
      <c r="G336" s="81" t="s">
        <v>17</v>
      </c>
      <c r="H336" s="129">
        <v>50</v>
      </c>
      <c r="I336" s="151">
        <v>98401</v>
      </c>
      <c r="J336" s="83" t="s">
        <v>429</v>
      </c>
      <c r="K336" s="24">
        <v>750</v>
      </c>
      <c r="L336" s="246" t="str">
        <f t="shared" si="43"/>
        <v>2 квартал 2012</v>
      </c>
      <c r="M336" s="248"/>
      <c r="N336" s="257"/>
      <c r="O336" s="24"/>
      <c r="P336" s="211"/>
      <c r="Q336" s="83"/>
      <c r="R336" s="83">
        <v>50</v>
      </c>
      <c r="S336" s="83">
        <v>750</v>
      </c>
      <c r="T336" s="83"/>
      <c r="U336" s="83"/>
      <c r="V336" s="83">
        <v>0</v>
      </c>
      <c r="W336" s="83">
        <v>0</v>
      </c>
      <c r="X336" s="167"/>
      <c r="Z336" s="237">
        <f t="shared" si="37"/>
        <v>0</v>
      </c>
    </row>
    <row r="337" spans="1:26" s="141" customFormat="1" ht="24.75" x14ac:dyDescent="0.25">
      <c r="A337" s="186">
        <v>27.14</v>
      </c>
      <c r="B337" s="165" t="s">
        <v>412</v>
      </c>
      <c r="C337" s="110">
        <v>2109020</v>
      </c>
      <c r="D337" s="275" t="s">
        <v>248</v>
      </c>
      <c r="E337" s="213"/>
      <c r="F337" s="110">
        <v>796</v>
      </c>
      <c r="G337" s="81" t="s">
        <v>17</v>
      </c>
      <c r="H337" s="129">
        <v>3</v>
      </c>
      <c r="I337" s="151">
        <v>98401</v>
      </c>
      <c r="J337" s="83" t="s">
        <v>429</v>
      </c>
      <c r="K337" s="24">
        <v>90</v>
      </c>
      <c r="L337" s="246" t="str">
        <f t="shared" si="43"/>
        <v>4 квартал 2012</v>
      </c>
      <c r="M337" s="245">
        <v>41244</v>
      </c>
      <c r="N337" s="257"/>
      <c r="O337" s="24"/>
      <c r="P337" s="211"/>
      <c r="Q337" s="83"/>
      <c r="R337" s="83"/>
      <c r="S337" s="83"/>
      <c r="T337" s="83"/>
      <c r="U337" s="83"/>
      <c r="V337" s="83">
        <v>3</v>
      </c>
      <c r="W337" s="83">
        <v>90</v>
      </c>
      <c r="X337" s="167"/>
      <c r="Z337" s="237">
        <f t="shared" si="37"/>
        <v>0</v>
      </c>
    </row>
    <row r="338" spans="1:26" s="141" customFormat="1" ht="24.75" x14ac:dyDescent="0.25">
      <c r="A338" s="186">
        <v>27.15</v>
      </c>
      <c r="B338" s="165" t="s">
        <v>412</v>
      </c>
      <c r="C338" s="110">
        <v>2109020</v>
      </c>
      <c r="D338" s="275" t="s">
        <v>249</v>
      </c>
      <c r="E338" s="213"/>
      <c r="F338" s="110">
        <v>796</v>
      </c>
      <c r="G338" s="81" t="s">
        <v>17</v>
      </c>
      <c r="H338" s="129">
        <v>1</v>
      </c>
      <c r="I338" s="151">
        <v>98401</v>
      </c>
      <c r="J338" s="83" t="s">
        <v>429</v>
      </c>
      <c r="K338" s="24">
        <v>30</v>
      </c>
      <c r="L338" s="246" t="str">
        <f t="shared" si="43"/>
        <v>4 квартал 2012</v>
      </c>
      <c r="M338" s="245">
        <v>41244</v>
      </c>
      <c r="N338" s="257"/>
      <c r="O338" s="24"/>
      <c r="P338" s="211"/>
      <c r="Q338" s="83"/>
      <c r="R338" s="83"/>
      <c r="S338" s="83"/>
      <c r="T338" s="83"/>
      <c r="U338" s="83"/>
      <c r="V338" s="83">
        <v>1</v>
      </c>
      <c r="W338" s="83">
        <v>30</v>
      </c>
      <c r="X338" s="167"/>
      <c r="Z338" s="237">
        <f t="shared" si="37"/>
        <v>0</v>
      </c>
    </row>
    <row r="339" spans="1:26" s="141" customFormat="1" ht="24.75" x14ac:dyDescent="0.25">
      <c r="A339" s="186">
        <v>27.16</v>
      </c>
      <c r="B339" s="165" t="s">
        <v>412</v>
      </c>
      <c r="C339" s="110">
        <v>2109020</v>
      </c>
      <c r="D339" s="266" t="s">
        <v>250</v>
      </c>
      <c r="E339" s="213"/>
      <c r="F339" s="110">
        <v>796</v>
      </c>
      <c r="G339" s="81" t="s">
        <v>17</v>
      </c>
      <c r="H339" s="129">
        <v>5</v>
      </c>
      <c r="I339" s="151">
        <v>98401</v>
      </c>
      <c r="J339" s="83" t="s">
        <v>429</v>
      </c>
      <c r="K339" s="24">
        <v>2250</v>
      </c>
      <c r="L339" s="246" t="str">
        <f t="shared" si="43"/>
        <v>4 квартал 2012</v>
      </c>
      <c r="M339" s="245">
        <v>41244</v>
      </c>
      <c r="N339" s="257"/>
      <c r="O339" s="24"/>
      <c r="P339" s="211"/>
      <c r="Q339" s="83"/>
      <c r="R339" s="83"/>
      <c r="S339" s="83"/>
      <c r="T339" s="83"/>
      <c r="U339" s="83"/>
      <c r="V339" s="83">
        <v>5</v>
      </c>
      <c r="W339" s="83">
        <v>2250</v>
      </c>
      <c r="X339" s="167"/>
      <c r="Z339" s="237">
        <f t="shared" si="37"/>
        <v>0</v>
      </c>
    </row>
    <row r="340" spans="1:26" s="141" customFormat="1" ht="24.75" x14ac:dyDescent="0.25">
      <c r="A340" s="186">
        <v>27.17</v>
      </c>
      <c r="B340" s="165" t="s">
        <v>412</v>
      </c>
      <c r="C340" s="110">
        <v>2109020</v>
      </c>
      <c r="D340" s="266" t="s">
        <v>251</v>
      </c>
      <c r="E340" s="213"/>
      <c r="F340" s="110">
        <v>796</v>
      </c>
      <c r="G340" s="81" t="s">
        <v>17</v>
      </c>
      <c r="H340" s="129">
        <v>9</v>
      </c>
      <c r="I340" s="151">
        <v>98401</v>
      </c>
      <c r="J340" s="83" t="s">
        <v>429</v>
      </c>
      <c r="K340" s="24">
        <v>4050</v>
      </c>
      <c r="L340" s="246" t="str">
        <f t="shared" si="43"/>
        <v>4 квартал 2012</v>
      </c>
      <c r="M340" s="245">
        <v>41244</v>
      </c>
      <c r="N340" s="257"/>
      <c r="O340" s="24"/>
      <c r="P340" s="211"/>
      <c r="Q340" s="83"/>
      <c r="R340" s="83"/>
      <c r="S340" s="83"/>
      <c r="T340" s="83"/>
      <c r="U340" s="83"/>
      <c r="V340" s="83">
        <v>9</v>
      </c>
      <c r="W340" s="83">
        <v>4050</v>
      </c>
      <c r="X340" s="167"/>
      <c r="Z340" s="237">
        <f t="shared" si="37"/>
        <v>0</v>
      </c>
    </row>
    <row r="341" spans="1:26" s="141" customFormat="1" ht="24.75" x14ac:dyDescent="0.25">
      <c r="A341" s="186">
        <v>27.18</v>
      </c>
      <c r="B341" s="165" t="s">
        <v>412</v>
      </c>
      <c r="C341" s="110">
        <v>2109020</v>
      </c>
      <c r="D341" s="266" t="s">
        <v>252</v>
      </c>
      <c r="E341" s="213"/>
      <c r="F341" s="110">
        <v>796</v>
      </c>
      <c r="G341" s="81" t="s">
        <v>17</v>
      </c>
      <c r="H341" s="129">
        <v>10</v>
      </c>
      <c r="I341" s="151">
        <v>98401</v>
      </c>
      <c r="J341" s="83" t="s">
        <v>429</v>
      </c>
      <c r="K341" s="24">
        <v>4500</v>
      </c>
      <c r="L341" s="246" t="str">
        <f t="shared" si="43"/>
        <v>2 квартал 2012</v>
      </c>
      <c r="M341" s="248"/>
      <c r="N341" s="257"/>
      <c r="O341" s="24"/>
      <c r="P341" s="211"/>
      <c r="Q341" s="83"/>
      <c r="R341" s="83">
        <v>10</v>
      </c>
      <c r="S341" s="83">
        <v>4500</v>
      </c>
      <c r="T341" s="83"/>
      <c r="U341" s="83"/>
      <c r="V341" s="83">
        <v>0</v>
      </c>
      <c r="W341" s="83">
        <v>0</v>
      </c>
      <c r="X341" s="167"/>
      <c r="Z341" s="237">
        <f t="shared" si="37"/>
        <v>0</v>
      </c>
    </row>
    <row r="342" spans="1:26" s="141" customFormat="1" x14ac:dyDescent="0.25">
      <c r="A342" s="186">
        <v>27.19</v>
      </c>
      <c r="B342" s="165" t="s">
        <v>412</v>
      </c>
      <c r="C342" s="110">
        <v>2109020</v>
      </c>
      <c r="D342" s="275" t="s">
        <v>253</v>
      </c>
      <c r="E342" s="213"/>
      <c r="F342" s="110">
        <v>796</v>
      </c>
      <c r="G342" s="81" t="s">
        <v>17</v>
      </c>
      <c r="H342" s="129">
        <v>48</v>
      </c>
      <c r="I342" s="151">
        <v>98401</v>
      </c>
      <c r="J342" s="83" t="s">
        <v>429</v>
      </c>
      <c r="K342" s="24">
        <v>864</v>
      </c>
      <c r="L342" s="246" t="str">
        <f t="shared" si="43"/>
        <v>4 квартал 2012</v>
      </c>
      <c r="M342" s="245">
        <v>41244</v>
      </c>
      <c r="N342" s="257"/>
      <c r="O342" s="24"/>
      <c r="P342" s="211"/>
      <c r="Q342" s="83"/>
      <c r="R342" s="83"/>
      <c r="S342" s="83"/>
      <c r="T342" s="83"/>
      <c r="U342" s="83"/>
      <c r="V342" s="83">
        <v>48</v>
      </c>
      <c r="W342" s="83">
        <v>864</v>
      </c>
      <c r="X342" s="167"/>
      <c r="Z342" s="237">
        <f t="shared" si="37"/>
        <v>0</v>
      </c>
    </row>
    <row r="343" spans="1:26" s="141" customFormat="1" x14ac:dyDescent="0.25">
      <c r="A343" s="186">
        <v>27.2</v>
      </c>
      <c r="B343" s="165" t="s">
        <v>412</v>
      </c>
      <c r="C343" s="110">
        <v>2109020</v>
      </c>
      <c r="D343" s="275" t="s">
        <v>254</v>
      </c>
      <c r="E343" s="213"/>
      <c r="F343" s="110">
        <v>796</v>
      </c>
      <c r="G343" s="81" t="s">
        <v>17</v>
      </c>
      <c r="H343" s="129">
        <v>171</v>
      </c>
      <c r="I343" s="151">
        <v>98401</v>
      </c>
      <c r="J343" s="83" t="s">
        <v>429</v>
      </c>
      <c r="K343" s="24">
        <v>8721</v>
      </c>
      <c r="L343" s="246" t="str">
        <f t="shared" si="43"/>
        <v>4 квартал 2012</v>
      </c>
      <c r="M343" s="245">
        <v>41244</v>
      </c>
      <c r="N343" s="257"/>
      <c r="O343" s="24"/>
      <c r="P343" s="211"/>
      <c r="Q343" s="83"/>
      <c r="R343" s="83"/>
      <c r="S343" s="83"/>
      <c r="T343" s="83"/>
      <c r="U343" s="83"/>
      <c r="V343" s="83">
        <v>171</v>
      </c>
      <c r="W343" s="83">
        <v>8721</v>
      </c>
      <c r="X343" s="167"/>
      <c r="Z343" s="237">
        <f t="shared" si="37"/>
        <v>0</v>
      </c>
    </row>
    <row r="344" spans="1:26" s="141" customFormat="1" x14ac:dyDescent="0.25">
      <c r="A344" s="186">
        <v>27.21</v>
      </c>
      <c r="B344" s="165" t="s">
        <v>412</v>
      </c>
      <c r="C344" s="110">
        <v>2109020</v>
      </c>
      <c r="D344" s="275" t="s">
        <v>255</v>
      </c>
      <c r="E344" s="213"/>
      <c r="F344" s="110">
        <v>796</v>
      </c>
      <c r="G344" s="81" t="s">
        <v>17</v>
      </c>
      <c r="H344" s="129">
        <v>122</v>
      </c>
      <c r="I344" s="151">
        <v>98401</v>
      </c>
      <c r="J344" s="83" t="s">
        <v>429</v>
      </c>
      <c r="K344" s="24">
        <v>15250</v>
      </c>
      <c r="L344" s="246" t="str">
        <f t="shared" si="43"/>
        <v>4 квартал 2012</v>
      </c>
      <c r="M344" s="245">
        <v>41244</v>
      </c>
      <c r="N344" s="257"/>
      <c r="O344" s="24"/>
      <c r="P344" s="211"/>
      <c r="Q344" s="83"/>
      <c r="R344" s="83"/>
      <c r="S344" s="83"/>
      <c r="T344" s="83"/>
      <c r="U344" s="83"/>
      <c r="V344" s="83">
        <v>122</v>
      </c>
      <c r="W344" s="83">
        <v>15250</v>
      </c>
      <c r="X344" s="167"/>
      <c r="Z344" s="237">
        <f t="shared" ref="Z344:Z407" si="44">K344-Q344-S344-U344-W344</f>
        <v>0</v>
      </c>
    </row>
    <row r="345" spans="1:26" s="141" customFormat="1" x14ac:dyDescent="0.25">
      <c r="A345" s="186">
        <v>27.22</v>
      </c>
      <c r="B345" s="165" t="s">
        <v>412</v>
      </c>
      <c r="C345" s="110">
        <v>2109020</v>
      </c>
      <c r="D345" s="275" t="s">
        <v>256</v>
      </c>
      <c r="E345" s="213"/>
      <c r="F345" s="110">
        <v>796</v>
      </c>
      <c r="G345" s="81" t="s">
        <v>17</v>
      </c>
      <c r="H345" s="129">
        <v>12</v>
      </c>
      <c r="I345" s="151">
        <v>98401</v>
      </c>
      <c r="J345" s="83" t="s">
        <v>429</v>
      </c>
      <c r="K345" s="24">
        <v>10800</v>
      </c>
      <c r="L345" s="246" t="str">
        <f t="shared" si="43"/>
        <v>2 квартал 2012</v>
      </c>
      <c r="M345" s="248"/>
      <c r="N345" s="257"/>
      <c r="O345" s="24"/>
      <c r="P345" s="211"/>
      <c r="Q345" s="83"/>
      <c r="R345" s="83">
        <v>10</v>
      </c>
      <c r="S345" s="83">
        <v>9000</v>
      </c>
      <c r="T345" s="83"/>
      <c r="U345" s="83"/>
      <c r="V345" s="83">
        <v>2</v>
      </c>
      <c r="W345" s="83">
        <v>1800</v>
      </c>
      <c r="X345" s="167"/>
      <c r="Z345" s="237">
        <f t="shared" si="44"/>
        <v>0</v>
      </c>
    </row>
    <row r="346" spans="1:26" s="141" customFormat="1" x14ac:dyDescent="0.25">
      <c r="A346" s="186">
        <v>27.23</v>
      </c>
      <c r="B346" s="165" t="s">
        <v>412</v>
      </c>
      <c r="C346" s="110">
        <v>2109020</v>
      </c>
      <c r="D346" s="275" t="s">
        <v>257</v>
      </c>
      <c r="E346" s="213"/>
      <c r="F346" s="110">
        <v>796</v>
      </c>
      <c r="G346" s="81" t="s">
        <v>17</v>
      </c>
      <c r="H346" s="129">
        <v>12</v>
      </c>
      <c r="I346" s="151">
        <v>98401</v>
      </c>
      <c r="J346" s="83" t="s">
        <v>429</v>
      </c>
      <c r="K346" s="24">
        <v>3543.6</v>
      </c>
      <c r="L346" s="246" t="str">
        <f t="shared" si="43"/>
        <v>2 квартал 2012</v>
      </c>
      <c r="M346" s="248"/>
      <c r="N346" s="257"/>
      <c r="O346" s="24"/>
      <c r="P346" s="211"/>
      <c r="Q346" s="83"/>
      <c r="R346" s="83">
        <v>5</v>
      </c>
      <c r="S346" s="83">
        <v>1476.5</v>
      </c>
      <c r="T346" s="83"/>
      <c r="U346" s="83"/>
      <c r="V346" s="83">
        <v>7</v>
      </c>
      <c r="W346" s="83">
        <v>2067.1</v>
      </c>
      <c r="X346" s="167"/>
      <c r="Z346" s="237">
        <f t="shared" si="44"/>
        <v>0</v>
      </c>
    </row>
    <row r="347" spans="1:26" s="141" customFormat="1" ht="24.75" x14ac:dyDescent="0.25">
      <c r="A347" s="186">
        <v>27.24</v>
      </c>
      <c r="B347" s="165" t="s">
        <v>412</v>
      </c>
      <c r="C347" s="110">
        <v>2109020</v>
      </c>
      <c r="D347" s="275" t="s">
        <v>258</v>
      </c>
      <c r="E347" s="213"/>
      <c r="F347" s="110">
        <v>796</v>
      </c>
      <c r="G347" s="81" t="s">
        <v>17</v>
      </c>
      <c r="H347" s="129">
        <v>36</v>
      </c>
      <c r="I347" s="151">
        <v>98401</v>
      </c>
      <c r="J347" s="83" t="s">
        <v>429</v>
      </c>
      <c r="K347" s="24">
        <v>957.6</v>
      </c>
      <c r="L347" s="246" t="str">
        <f t="shared" si="43"/>
        <v>2 квартал 2012</v>
      </c>
      <c r="M347" s="248"/>
      <c r="N347" s="257"/>
      <c r="O347" s="24"/>
      <c r="P347" s="211"/>
      <c r="Q347" s="83"/>
      <c r="R347" s="83">
        <v>20</v>
      </c>
      <c r="S347" s="83">
        <v>532</v>
      </c>
      <c r="T347" s="83"/>
      <c r="U347" s="83"/>
      <c r="V347" s="83">
        <v>16</v>
      </c>
      <c r="W347" s="83">
        <v>425.6</v>
      </c>
      <c r="X347" s="167"/>
      <c r="Z347" s="237">
        <f t="shared" si="44"/>
        <v>0</v>
      </c>
    </row>
    <row r="348" spans="1:26" s="141" customFormat="1" x14ac:dyDescent="0.25">
      <c r="A348" s="186">
        <v>27.25</v>
      </c>
      <c r="B348" s="165" t="s">
        <v>412</v>
      </c>
      <c r="C348" s="110">
        <v>2109020</v>
      </c>
      <c r="D348" s="275" t="s">
        <v>259</v>
      </c>
      <c r="E348" s="213"/>
      <c r="F348" s="110">
        <v>796</v>
      </c>
      <c r="G348" s="81" t="s">
        <v>17</v>
      </c>
      <c r="H348" s="129">
        <v>746</v>
      </c>
      <c r="I348" s="151">
        <v>98401</v>
      </c>
      <c r="J348" s="83" t="s">
        <v>429</v>
      </c>
      <c r="K348" s="24">
        <v>5595</v>
      </c>
      <c r="L348" s="246" t="str">
        <f t="shared" si="43"/>
        <v>2 квартал 2012</v>
      </c>
      <c r="M348" s="248"/>
      <c r="N348" s="257"/>
      <c r="O348" s="24"/>
      <c r="P348" s="211"/>
      <c r="Q348" s="83"/>
      <c r="R348" s="83">
        <v>300</v>
      </c>
      <c r="S348" s="83">
        <v>2250</v>
      </c>
      <c r="T348" s="83"/>
      <c r="U348" s="83"/>
      <c r="V348" s="83">
        <v>446</v>
      </c>
      <c r="W348" s="83">
        <v>3345</v>
      </c>
      <c r="X348" s="167"/>
      <c r="Z348" s="237">
        <f t="shared" si="44"/>
        <v>0</v>
      </c>
    </row>
    <row r="349" spans="1:26" s="141" customFormat="1" x14ac:dyDescent="0.25">
      <c r="A349" s="186">
        <v>27.26</v>
      </c>
      <c r="B349" s="165" t="s">
        <v>412</v>
      </c>
      <c r="C349" s="110">
        <v>2109020</v>
      </c>
      <c r="D349" s="274" t="s">
        <v>260</v>
      </c>
      <c r="E349" s="11"/>
      <c r="F349" s="110">
        <v>796</v>
      </c>
      <c r="G349" s="81" t="s">
        <v>17</v>
      </c>
      <c r="H349" s="129">
        <v>50</v>
      </c>
      <c r="I349" s="151">
        <v>98401</v>
      </c>
      <c r="J349" s="83" t="s">
        <v>429</v>
      </c>
      <c r="K349" s="24">
        <v>500</v>
      </c>
      <c r="L349" s="246" t="str">
        <f t="shared" si="43"/>
        <v>4 квартал 2012</v>
      </c>
      <c r="M349" s="245">
        <v>41244</v>
      </c>
      <c r="N349" s="257"/>
      <c r="O349" s="24"/>
      <c r="P349" s="211"/>
      <c r="Q349" s="83"/>
      <c r="R349" s="83"/>
      <c r="S349" s="83"/>
      <c r="T349" s="83"/>
      <c r="U349" s="83"/>
      <c r="V349" s="83">
        <v>50</v>
      </c>
      <c r="W349" s="83">
        <v>500</v>
      </c>
      <c r="X349" s="167"/>
      <c r="Z349" s="237">
        <f t="shared" si="44"/>
        <v>0</v>
      </c>
    </row>
    <row r="350" spans="1:26" s="141" customFormat="1" x14ac:dyDescent="0.25">
      <c r="A350" s="186">
        <v>27.27</v>
      </c>
      <c r="B350" s="165" t="s">
        <v>412</v>
      </c>
      <c r="C350" s="110">
        <v>2109020</v>
      </c>
      <c r="D350" s="275" t="s">
        <v>261</v>
      </c>
      <c r="E350" s="213"/>
      <c r="F350" s="110">
        <v>796</v>
      </c>
      <c r="G350" s="81" t="s">
        <v>17</v>
      </c>
      <c r="H350" s="129">
        <v>690</v>
      </c>
      <c r="I350" s="151">
        <v>98401</v>
      </c>
      <c r="J350" s="83" t="s">
        <v>429</v>
      </c>
      <c r="K350" s="24">
        <v>22873.5</v>
      </c>
      <c r="L350" s="246" t="str">
        <f t="shared" si="43"/>
        <v>1 квартал 2012</v>
      </c>
      <c r="M350" s="248"/>
      <c r="N350" s="257"/>
      <c r="O350" s="24"/>
      <c r="P350" s="211">
        <v>100</v>
      </c>
      <c r="Q350" s="83">
        <v>3315</v>
      </c>
      <c r="R350" s="83">
        <v>200</v>
      </c>
      <c r="S350" s="83">
        <v>6630</v>
      </c>
      <c r="T350" s="83">
        <v>100</v>
      </c>
      <c r="U350" s="83">
        <v>3315</v>
      </c>
      <c r="V350" s="83">
        <v>290</v>
      </c>
      <c r="W350" s="83">
        <v>9613.5</v>
      </c>
      <c r="X350" s="167"/>
      <c r="Z350" s="237">
        <f t="shared" si="44"/>
        <v>0</v>
      </c>
    </row>
    <row r="351" spans="1:26" s="141" customFormat="1" x14ac:dyDescent="0.25">
      <c r="A351" s="186">
        <v>27.28</v>
      </c>
      <c r="B351" s="165" t="s">
        <v>412</v>
      </c>
      <c r="C351" s="110">
        <v>2109020</v>
      </c>
      <c r="D351" s="275" t="s">
        <v>262</v>
      </c>
      <c r="E351" s="213"/>
      <c r="F351" s="110">
        <v>796</v>
      </c>
      <c r="G351" s="81" t="s">
        <v>17</v>
      </c>
      <c r="H351" s="129">
        <v>39</v>
      </c>
      <c r="I351" s="151">
        <v>98401</v>
      </c>
      <c r="J351" s="83" t="s">
        <v>429</v>
      </c>
      <c r="K351" s="24">
        <v>3120</v>
      </c>
      <c r="L351" s="246" t="str">
        <f t="shared" si="43"/>
        <v>4 квартал 2012</v>
      </c>
      <c r="M351" s="245">
        <v>41244</v>
      </c>
      <c r="N351" s="257"/>
      <c r="O351" s="24"/>
      <c r="P351" s="211"/>
      <c r="Q351" s="83"/>
      <c r="R351" s="83"/>
      <c r="S351" s="83"/>
      <c r="T351" s="83"/>
      <c r="U351" s="83"/>
      <c r="V351" s="83">
        <v>39</v>
      </c>
      <c r="W351" s="83">
        <v>3120</v>
      </c>
      <c r="X351" s="167"/>
      <c r="Z351" s="237">
        <f t="shared" si="44"/>
        <v>0</v>
      </c>
    </row>
    <row r="352" spans="1:26" s="141" customFormat="1" x14ac:dyDescent="0.25">
      <c r="A352" s="186">
        <v>27.29</v>
      </c>
      <c r="B352" s="165" t="s">
        <v>412</v>
      </c>
      <c r="C352" s="110">
        <v>2109020</v>
      </c>
      <c r="D352" s="275" t="s">
        <v>263</v>
      </c>
      <c r="E352" s="213"/>
      <c r="F352" s="110">
        <v>796</v>
      </c>
      <c r="G352" s="81" t="s">
        <v>17</v>
      </c>
      <c r="H352" s="129">
        <v>59</v>
      </c>
      <c r="I352" s="151">
        <v>98401</v>
      </c>
      <c r="J352" s="83" t="s">
        <v>429</v>
      </c>
      <c r="K352" s="24">
        <v>118</v>
      </c>
      <c r="L352" s="246" t="str">
        <f t="shared" si="43"/>
        <v>4 квартал 2012</v>
      </c>
      <c r="M352" s="245">
        <v>41244</v>
      </c>
      <c r="N352" s="257"/>
      <c r="O352" s="24"/>
      <c r="P352" s="211"/>
      <c r="Q352" s="83"/>
      <c r="R352" s="83"/>
      <c r="S352" s="83"/>
      <c r="T352" s="83"/>
      <c r="U352" s="83"/>
      <c r="V352" s="83">
        <v>59</v>
      </c>
      <c r="W352" s="83">
        <v>118</v>
      </c>
      <c r="X352" s="167"/>
      <c r="Z352" s="237">
        <f t="shared" si="44"/>
        <v>0</v>
      </c>
    </row>
    <row r="353" spans="1:26" s="141" customFormat="1" ht="24.75" x14ac:dyDescent="0.25">
      <c r="A353" s="186">
        <v>27.3</v>
      </c>
      <c r="B353" s="165" t="s">
        <v>412</v>
      </c>
      <c r="C353" s="110">
        <v>2109020</v>
      </c>
      <c r="D353" s="275" t="s">
        <v>264</v>
      </c>
      <c r="E353" s="213"/>
      <c r="F353" s="110">
        <v>796</v>
      </c>
      <c r="G353" s="81" t="s">
        <v>17</v>
      </c>
      <c r="H353" s="129">
        <v>270</v>
      </c>
      <c r="I353" s="151">
        <v>98401</v>
      </c>
      <c r="J353" s="83" t="s">
        <v>429</v>
      </c>
      <c r="K353" s="24">
        <v>1269</v>
      </c>
      <c r="L353" s="246" t="str">
        <f t="shared" si="43"/>
        <v>4 квартал 2012</v>
      </c>
      <c r="M353" s="245">
        <v>41244</v>
      </c>
      <c r="N353" s="257"/>
      <c r="O353" s="24"/>
      <c r="P353" s="211"/>
      <c r="Q353" s="83"/>
      <c r="R353" s="83"/>
      <c r="S353" s="83"/>
      <c r="T353" s="83"/>
      <c r="U353" s="83"/>
      <c r="V353" s="83">
        <v>270</v>
      </c>
      <c r="W353" s="83">
        <v>1269</v>
      </c>
      <c r="X353" s="167"/>
      <c r="Z353" s="237">
        <f t="shared" si="44"/>
        <v>0</v>
      </c>
    </row>
    <row r="354" spans="1:26" s="141" customFormat="1" ht="24.75" x14ac:dyDescent="0.25">
      <c r="A354" s="186">
        <v>27.31</v>
      </c>
      <c r="B354" s="165" t="s">
        <v>412</v>
      </c>
      <c r="C354" s="110">
        <v>2109020</v>
      </c>
      <c r="D354" s="275" t="s">
        <v>265</v>
      </c>
      <c r="E354" s="213"/>
      <c r="F354" s="110">
        <v>796</v>
      </c>
      <c r="G354" s="81" t="s">
        <v>17</v>
      </c>
      <c r="H354" s="129">
        <v>395</v>
      </c>
      <c r="I354" s="151">
        <v>98401</v>
      </c>
      <c r="J354" s="83" t="s">
        <v>429</v>
      </c>
      <c r="K354" s="24">
        <v>948</v>
      </c>
      <c r="L354" s="246" t="str">
        <f t="shared" si="43"/>
        <v>4 квартал 2012</v>
      </c>
      <c r="M354" s="245">
        <v>41244</v>
      </c>
      <c r="N354" s="257"/>
      <c r="O354" s="24"/>
      <c r="P354" s="211"/>
      <c r="Q354" s="83"/>
      <c r="R354" s="83"/>
      <c r="S354" s="83"/>
      <c r="T354" s="83"/>
      <c r="U354" s="83"/>
      <c r="V354" s="83">
        <v>395</v>
      </c>
      <c r="W354" s="83">
        <v>948</v>
      </c>
      <c r="X354" s="167"/>
      <c r="Z354" s="237">
        <f t="shared" si="44"/>
        <v>0</v>
      </c>
    </row>
    <row r="355" spans="1:26" s="141" customFormat="1" x14ac:dyDescent="0.25">
      <c r="A355" s="186">
        <v>27.32</v>
      </c>
      <c r="B355" s="165" t="s">
        <v>412</v>
      </c>
      <c r="C355" s="110">
        <v>2109020</v>
      </c>
      <c r="D355" s="266" t="s">
        <v>266</v>
      </c>
      <c r="E355" s="213"/>
      <c r="F355" s="110">
        <v>796</v>
      </c>
      <c r="G355" s="81" t="s">
        <v>17</v>
      </c>
      <c r="H355" s="129">
        <v>31</v>
      </c>
      <c r="I355" s="151">
        <v>98401</v>
      </c>
      <c r="J355" s="83" t="s">
        <v>429</v>
      </c>
      <c r="K355" s="24">
        <v>3286</v>
      </c>
      <c r="L355" s="246" t="str">
        <f t="shared" si="43"/>
        <v>1 квартал 2012</v>
      </c>
      <c r="M355" s="248"/>
      <c r="N355" s="257"/>
      <c r="O355" s="24"/>
      <c r="P355" s="211">
        <v>6</v>
      </c>
      <c r="Q355" s="83">
        <v>636</v>
      </c>
      <c r="R355" s="83">
        <v>10</v>
      </c>
      <c r="S355" s="83">
        <v>1060</v>
      </c>
      <c r="T355" s="83"/>
      <c r="U355" s="83"/>
      <c r="V355" s="83">
        <v>15</v>
      </c>
      <c r="W355" s="83">
        <v>1590</v>
      </c>
      <c r="X355" s="167"/>
      <c r="Z355" s="237">
        <f t="shared" si="44"/>
        <v>0</v>
      </c>
    </row>
    <row r="356" spans="1:26" s="141" customFormat="1" ht="24.75" x14ac:dyDescent="0.25">
      <c r="A356" s="186">
        <v>27.33</v>
      </c>
      <c r="B356" s="165" t="s">
        <v>412</v>
      </c>
      <c r="C356" s="110">
        <v>2109020</v>
      </c>
      <c r="D356" s="275" t="s">
        <v>267</v>
      </c>
      <c r="E356" s="213"/>
      <c r="F356" s="110">
        <v>796</v>
      </c>
      <c r="G356" s="81" t="s">
        <v>17</v>
      </c>
      <c r="H356" s="129">
        <v>97</v>
      </c>
      <c r="I356" s="151">
        <v>98401</v>
      </c>
      <c r="J356" s="83" t="s">
        <v>429</v>
      </c>
      <c r="K356" s="24">
        <v>2425</v>
      </c>
      <c r="L356" s="246" t="str">
        <f t="shared" si="43"/>
        <v>2 квартал 2012</v>
      </c>
      <c r="M356" s="248"/>
      <c r="N356" s="257"/>
      <c r="O356" s="24"/>
      <c r="P356" s="211"/>
      <c r="Q356" s="83"/>
      <c r="R356" s="83">
        <v>50</v>
      </c>
      <c r="S356" s="83">
        <v>1250</v>
      </c>
      <c r="T356" s="83"/>
      <c r="U356" s="83"/>
      <c r="V356" s="83">
        <v>47</v>
      </c>
      <c r="W356" s="83">
        <v>1175</v>
      </c>
      <c r="X356" s="167"/>
      <c r="Z356" s="237">
        <f t="shared" si="44"/>
        <v>0</v>
      </c>
    </row>
    <row r="357" spans="1:26" s="141" customFormat="1" ht="24.75" x14ac:dyDescent="0.25">
      <c r="A357" s="186">
        <v>27.34</v>
      </c>
      <c r="B357" s="165" t="s">
        <v>412</v>
      </c>
      <c r="C357" s="110">
        <v>2109020</v>
      </c>
      <c r="D357" s="275" t="s">
        <v>268</v>
      </c>
      <c r="E357" s="213"/>
      <c r="F357" s="110">
        <v>796</v>
      </c>
      <c r="G357" s="81" t="s">
        <v>17</v>
      </c>
      <c r="H357" s="129">
        <v>50</v>
      </c>
      <c r="I357" s="151">
        <v>98401</v>
      </c>
      <c r="J357" s="83" t="s">
        <v>429</v>
      </c>
      <c r="K357" s="24">
        <v>2700</v>
      </c>
      <c r="L357" s="246" t="str">
        <f t="shared" si="43"/>
        <v>2 квартал 2012</v>
      </c>
      <c r="M357" s="248"/>
      <c r="N357" s="257"/>
      <c r="O357" s="24"/>
      <c r="P357" s="211"/>
      <c r="Q357" s="83"/>
      <c r="R357" s="83">
        <v>50</v>
      </c>
      <c r="S357" s="83">
        <v>2700</v>
      </c>
      <c r="T357" s="83"/>
      <c r="U357" s="83"/>
      <c r="V357" s="83">
        <v>0</v>
      </c>
      <c r="W357" s="83">
        <v>0</v>
      </c>
      <c r="X357" s="167"/>
      <c r="Z357" s="237">
        <f t="shared" si="44"/>
        <v>0</v>
      </c>
    </row>
    <row r="358" spans="1:26" s="141" customFormat="1" x14ac:dyDescent="0.25">
      <c r="A358" s="186">
        <v>27.35</v>
      </c>
      <c r="B358" s="165" t="s">
        <v>412</v>
      </c>
      <c r="C358" s="110">
        <v>2109020</v>
      </c>
      <c r="D358" s="275" t="s">
        <v>269</v>
      </c>
      <c r="E358" s="213"/>
      <c r="F358" s="110">
        <v>796</v>
      </c>
      <c r="G358" s="81" t="s">
        <v>17</v>
      </c>
      <c r="H358" s="129">
        <v>88</v>
      </c>
      <c r="I358" s="151">
        <v>98401</v>
      </c>
      <c r="J358" s="83" t="s">
        <v>429</v>
      </c>
      <c r="K358" s="24">
        <v>4752</v>
      </c>
      <c r="L358" s="246" t="str">
        <f t="shared" si="43"/>
        <v>4 квартал 2012</v>
      </c>
      <c r="M358" s="245">
        <v>41244</v>
      </c>
      <c r="N358" s="257"/>
      <c r="O358" s="24"/>
      <c r="P358" s="211"/>
      <c r="Q358" s="83"/>
      <c r="R358" s="83"/>
      <c r="S358" s="83"/>
      <c r="T358" s="83"/>
      <c r="U358" s="83"/>
      <c r="V358" s="83">
        <v>88</v>
      </c>
      <c r="W358" s="83">
        <v>4752</v>
      </c>
      <c r="X358" s="167"/>
      <c r="Z358" s="237">
        <f t="shared" si="44"/>
        <v>0</v>
      </c>
    </row>
    <row r="359" spans="1:26" s="141" customFormat="1" x14ac:dyDescent="0.25">
      <c r="A359" s="186">
        <v>27.36</v>
      </c>
      <c r="B359" s="165" t="s">
        <v>412</v>
      </c>
      <c r="C359" s="110">
        <v>2109020</v>
      </c>
      <c r="D359" s="275" t="s">
        <v>270</v>
      </c>
      <c r="E359" s="213"/>
      <c r="F359" s="110">
        <v>796</v>
      </c>
      <c r="G359" s="81" t="s">
        <v>17</v>
      </c>
      <c r="H359" s="129">
        <v>254</v>
      </c>
      <c r="I359" s="151">
        <v>98401</v>
      </c>
      <c r="J359" s="83" t="s">
        <v>429</v>
      </c>
      <c r="K359" s="24">
        <v>1143</v>
      </c>
      <c r="L359" s="246" t="str">
        <f t="shared" si="43"/>
        <v>2 квартал 2012</v>
      </c>
      <c r="M359" s="248"/>
      <c r="N359" s="257"/>
      <c r="O359" s="24"/>
      <c r="P359" s="211"/>
      <c r="Q359" s="83"/>
      <c r="R359" s="83">
        <v>50</v>
      </c>
      <c r="S359" s="83">
        <v>225</v>
      </c>
      <c r="T359" s="83">
        <v>50</v>
      </c>
      <c r="U359" s="83">
        <v>250</v>
      </c>
      <c r="V359" s="83">
        <v>154</v>
      </c>
      <c r="W359" s="83">
        <v>668</v>
      </c>
      <c r="X359" s="167"/>
      <c r="Z359" s="237">
        <f t="shared" si="44"/>
        <v>0</v>
      </c>
    </row>
    <row r="360" spans="1:26" s="141" customFormat="1" x14ac:dyDescent="0.25">
      <c r="A360" s="186">
        <v>27.37</v>
      </c>
      <c r="B360" s="165" t="s">
        <v>412</v>
      </c>
      <c r="C360" s="110">
        <v>2109020</v>
      </c>
      <c r="D360" s="275" t="s">
        <v>271</v>
      </c>
      <c r="E360" s="213"/>
      <c r="F360" s="110">
        <v>796</v>
      </c>
      <c r="G360" s="81" t="s">
        <v>17</v>
      </c>
      <c r="H360" s="129">
        <v>2</v>
      </c>
      <c r="I360" s="151">
        <v>98401</v>
      </c>
      <c r="J360" s="83" t="s">
        <v>429</v>
      </c>
      <c r="K360" s="24">
        <v>56</v>
      </c>
      <c r="L360" s="246" t="str">
        <f t="shared" si="43"/>
        <v>4 квартал 2012</v>
      </c>
      <c r="M360" s="245">
        <v>41244</v>
      </c>
      <c r="N360" s="257"/>
      <c r="O360" s="24"/>
      <c r="P360" s="211"/>
      <c r="Q360" s="83"/>
      <c r="R360" s="83"/>
      <c r="S360" s="83"/>
      <c r="T360" s="83"/>
      <c r="U360" s="83"/>
      <c r="V360" s="83">
        <v>2</v>
      </c>
      <c r="W360" s="83">
        <v>56</v>
      </c>
      <c r="X360" s="167"/>
      <c r="Z360" s="237">
        <f t="shared" si="44"/>
        <v>0</v>
      </c>
    </row>
    <row r="361" spans="1:26" s="141" customFormat="1" x14ac:dyDescent="0.25">
      <c r="A361" s="186">
        <v>27.38</v>
      </c>
      <c r="B361" s="165" t="s">
        <v>412</v>
      </c>
      <c r="C361" s="110">
        <v>2109020</v>
      </c>
      <c r="D361" s="275" t="s">
        <v>272</v>
      </c>
      <c r="E361" s="213"/>
      <c r="F361" s="110">
        <v>796</v>
      </c>
      <c r="G361" s="81" t="s">
        <v>17</v>
      </c>
      <c r="H361" s="129">
        <v>19</v>
      </c>
      <c r="I361" s="151">
        <v>98401</v>
      </c>
      <c r="J361" s="83" t="s">
        <v>429</v>
      </c>
      <c r="K361" s="24">
        <v>950</v>
      </c>
      <c r="L361" s="246" t="str">
        <f t="shared" si="43"/>
        <v>4 квартал 2012</v>
      </c>
      <c r="M361" s="245">
        <v>41244</v>
      </c>
      <c r="N361" s="257"/>
      <c r="O361" s="24"/>
      <c r="P361" s="211"/>
      <c r="Q361" s="83"/>
      <c r="R361" s="83"/>
      <c r="S361" s="83"/>
      <c r="T361" s="83"/>
      <c r="U361" s="83"/>
      <c r="V361" s="83">
        <v>19</v>
      </c>
      <c r="W361" s="83">
        <v>950</v>
      </c>
      <c r="X361" s="167"/>
      <c r="Z361" s="237">
        <f t="shared" si="44"/>
        <v>0</v>
      </c>
    </row>
    <row r="362" spans="1:26" s="141" customFormat="1" x14ac:dyDescent="0.25">
      <c r="A362" s="186">
        <v>27.39</v>
      </c>
      <c r="B362" s="165" t="s">
        <v>412</v>
      </c>
      <c r="C362" s="110">
        <v>2109020</v>
      </c>
      <c r="D362" s="275" t="s">
        <v>273</v>
      </c>
      <c r="E362" s="213"/>
      <c r="F362" s="110">
        <v>796</v>
      </c>
      <c r="G362" s="81" t="s">
        <v>17</v>
      </c>
      <c r="H362" s="129">
        <v>2</v>
      </c>
      <c r="I362" s="151">
        <v>98401</v>
      </c>
      <c r="J362" s="83" t="s">
        <v>429</v>
      </c>
      <c r="K362" s="24">
        <v>100</v>
      </c>
      <c r="L362" s="246" t="str">
        <f t="shared" si="43"/>
        <v>4 квартал 2012</v>
      </c>
      <c r="M362" s="245">
        <v>41244</v>
      </c>
      <c r="N362" s="257"/>
      <c r="O362" s="24"/>
      <c r="P362" s="211"/>
      <c r="Q362" s="83"/>
      <c r="R362" s="83"/>
      <c r="S362" s="83"/>
      <c r="T362" s="83"/>
      <c r="U362" s="83"/>
      <c r="V362" s="83">
        <v>2</v>
      </c>
      <c r="W362" s="83">
        <v>100</v>
      </c>
      <c r="X362" s="167"/>
      <c r="Z362" s="237">
        <f t="shared" si="44"/>
        <v>0</v>
      </c>
    </row>
    <row r="363" spans="1:26" s="141" customFormat="1" x14ac:dyDescent="0.25">
      <c r="A363" s="186">
        <v>27.4</v>
      </c>
      <c r="B363" s="165" t="s">
        <v>412</v>
      </c>
      <c r="C363" s="110">
        <v>2109020</v>
      </c>
      <c r="D363" s="275" t="s">
        <v>274</v>
      </c>
      <c r="E363" s="213"/>
      <c r="F363" s="110">
        <v>796</v>
      </c>
      <c r="G363" s="81" t="s">
        <v>17</v>
      </c>
      <c r="H363" s="129">
        <v>30</v>
      </c>
      <c r="I363" s="151">
        <v>98401</v>
      </c>
      <c r="J363" s="83" t="s">
        <v>429</v>
      </c>
      <c r="K363" s="24">
        <v>3723</v>
      </c>
      <c r="L363" s="246" t="str">
        <f t="shared" si="43"/>
        <v>2 квартал 2012</v>
      </c>
      <c r="M363" s="248"/>
      <c r="N363" s="257"/>
      <c r="O363" s="24"/>
      <c r="P363" s="211"/>
      <c r="Q363" s="83"/>
      <c r="R363" s="83">
        <v>30</v>
      </c>
      <c r="S363" s="83">
        <v>3723</v>
      </c>
      <c r="T363" s="83"/>
      <c r="U363" s="83"/>
      <c r="V363" s="83">
        <v>0</v>
      </c>
      <c r="W363" s="83">
        <v>0</v>
      </c>
      <c r="X363" s="167"/>
      <c r="Z363" s="237">
        <f t="shared" si="44"/>
        <v>0</v>
      </c>
    </row>
    <row r="364" spans="1:26" s="141" customFormat="1" x14ac:dyDescent="0.25">
      <c r="A364" s="186">
        <v>27.41</v>
      </c>
      <c r="B364" s="165" t="s">
        <v>412</v>
      </c>
      <c r="C364" s="110">
        <v>2109020</v>
      </c>
      <c r="D364" s="274" t="s">
        <v>275</v>
      </c>
      <c r="E364" s="11"/>
      <c r="F364" s="110">
        <v>796</v>
      </c>
      <c r="G364" s="81" t="s">
        <v>17</v>
      </c>
      <c r="H364" s="129">
        <v>60</v>
      </c>
      <c r="I364" s="151">
        <v>98401</v>
      </c>
      <c r="J364" s="83" t="s">
        <v>429</v>
      </c>
      <c r="K364" s="24">
        <v>2040</v>
      </c>
      <c r="L364" s="246" t="str">
        <f t="shared" si="43"/>
        <v>2 квартал 2012</v>
      </c>
      <c r="M364" s="248"/>
      <c r="N364" s="257"/>
      <c r="O364" s="24"/>
      <c r="P364" s="211"/>
      <c r="Q364" s="83"/>
      <c r="R364" s="83">
        <v>60</v>
      </c>
      <c r="S364" s="83">
        <v>2040</v>
      </c>
      <c r="T364" s="83"/>
      <c r="U364" s="83"/>
      <c r="V364" s="83">
        <v>0</v>
      </c>
      <c r="W364" s="83">
        <v>0</v>
      </c>
      <c r="X364" s="167"/>
      <c r="Z364" s="237">
        <f t="shared" si="44"/>
        <v>0</v>
      </c>
    </row>
    <row r="365" spans="1:26" s="141" customFormat="1" x14ac:dyDescent="0.25">
      <c r="A365" s="186">
        <v>27.42</v>
      </c>
      <c r="B365" s="165" t="s">
        <v>412</v>
      </c>
      <c r="C365" s="110">
        <v>2109020</v>
      </c>
      <c r="D365" s="274" t="s">
        <v>276</v>
      </c>
      <c r="E365" s="11"/>
      <c r="F365" s="110">
        <v>796</v>
      </c>
      <c r="G365" s="81" t="s">
        <v>17</v>
      </c>
      <c r="H365" s="129">
        <v>42</v>
      </c>
      <c r="I365" s="151">
        <v>98401</v>
      </c>
      <c r="J365" s="83" t="s">
        <v>429</v>
      </c>
      <c r="K365" s="24">
        <v>1680</v>
      </c>
      <c r="L365" s="246" t="str">
        <f t="shared" si="43"/>
        <v>4 квартал 2012</v>
      </c>
      <c r="M365" s="245">
        <v>41244</v>
      </c>
      <c r="N365" s="257"/>
      <c r="O365" s="24"/>
      <c r="P365" s="211"/>
      <c r="Q365" s="83"/>
      <c r="R365" s="83"/>
      <c r="S365" s="83"/>
      <c r="T365" s="83"/>
      <c r="U365" s="83"/>
      <c r="V365" s="83">
        <v>42</v>
      </c>
      <c r="W365" s="83">
        <v>1680</v>
      </c>
      <c r="X365" s="167"/>
      <c r="Z365" s="237">
        <f t="shared" si="44"/>
        <v>0</v>
      </c>
    </row>
    <row r="366" spans="1:26" s="141" customFormat="1" x14ac:dyDescent="0.25">
      <c r="A366" s="186">
        <v>27.43</v>
      </c>
      <c r="B366" s="165" t="s">
        <v>412</v>
      </c>
      <c r="C366" s="110">
        <v>2109020</v>
      </c>
      <c r="D366" s="274" t="s">
        <v>277</v>
      </c>
      <c r="E366" s="11"/>
      <c r="F366" s="110">
        <v>796</v>
      </c>
      <c r="G366" s="81" t="s">
        <v>17</v>
      </c>
      <c r="H366" s="129">
        <v>24</v>
      </c>
      <c r="I366" s="151">
        <v>98401</v>
      </c>
      <c r="J366" s="83" t="s">
        <v>429</v>
      </c>
      <c r="K366" s="24">
        <v>960</v>
      </c>
      <c r="L366" s="246" t="str">
        <f t="shared" si="43"/>
        <v>4 квартал 2012</v>
      </c>
      <c r="M366" s="245">
        <v>41244</v>
      </c>
      <c r="N366" s="257"/>
      <c r="O366" s="24"/>
      <c r="P366" s="211"/>
      <c r="Q366" s="83"/>
      <c r="R366" s="83"/>
      <c r="S366" s="83"/>
      <c r="T366" s="83"/>
      <c r="U366" s="83"/>
      <c r="V366" s="83">
        <v>24</v>
      </c>
      <c r="W366" s="83">
        <v>960</v>
      </c>
      <c r="X366" s="167"/>
      <c r="Z366" s="237">
        <f t="shared" si="44"/>
        <v>0</v>
      </c>
    </row>
    <row r="367" spans="1:26" s="141" customFormat="1" x14ac:dyDescent="0.25">
      <c r="A367" s="186">
        <v>27.440000000000101</v>
      </c>
      <c r="B367" s="165" t="s">
        <v>412</v>
      </c>
      <c r="C367" s="110">
        <v>2109020</v>
      </c>
      <c r="D367" s="275" t="s">
        <v>278</v>
      </c>
      <c r="E367" s="213"/>
      <c r="F367" s="110">
        <v>796</v>
      </c>
      <c r="G367" s="81" t="s">
        <v>17</v>
      </c>
      <c r="H367" s="129">
        <v>70</v>
      </c>
      <c r="I367" s="151">
        <v>98401</v>
      </c>
      <c r="J367" s="83" t="s">
        <v>429</v>
      </c>
      <c r="K367" s="24">
        <v>11060</v>
      </c>
      <c r="L367" s="246" t="str">
        <f t="shared" si="43"/>
        <v>4 квартал 2012</v>
      </c>
      <c r="M367" s="245">
        <v>41244</v>
      </c>
      <c r="N367" s="257"/>
      <c r="O367" s="24"/>
      <c r="P367" s="211"/>
      <c r="Q367" s="83"/>
      <c r="R367" s="83"/>
      <c r="S367" s="83"/>
      <c r="T367" s="83"/>
      <c r="U367" s="83"/>
      <c r="V367" s="83">
        <v>70</v>
      </c>
      <c r="W367" s="83">
        <v>11060</v>
      </c>
      <c r="X367" s="167"/>
      <c r="Z367" s="237">
        <f t="shared" si="44"/>
        <v>0</v>
      </c>
    </row>
    <row r="368" spans="1:26" s="141" customFormat="1" ht="24.75" x14ac:dyDescent="0.25">
      <c r="A368" s="186">
        <v>27.450000000000099</v>
      </c>
      <c r="B368" s="165" t="s">
        <v>412</v>
      </c>
      <c r="C368" s="110">
        <v>2109020</v>
      </c>
      <c r="D368" s="275" t="s">
        <v>279</v>
      </c>
      <c r="E368" s="213"/>
      <c r="F368" s="110">
        <v>796</v>
      </c>
      <c r="G368" s="81" t="s">
        <v>17</v>
      </c>
      <c r="H368" s="129">
        <v>29</v>
      </c>
      <c r="I368" s="151">
        <v>98401</v>
      </c>
      <c r="J368" s="83" t="s">
        <v>429</v>
      </c>
      <c r="K368" s="24">
        <v>1653</v>
      </c>
      <c r="L368" s="246" t="str">
        <f t="shared" si="43"/>
        <v>2 квартал 2012</v>
      </c>
      <c r="M368" s="248"/>
      <c r="N368" s="257"/>
      <c r="O368" s="24"/>
      <c r="P368" s="211"/>
      <c r="Q368" s="83"/>
      <c r="R368" s="83">
        <v>20</v>
      </c>
      <c r="S368" s="83">
        <v>1140</v>
      </c>
      <c r="T368" s="83"/>
      <c r="U368" s="83"/>
      <c r="V368" s="83">
        <v>9</v>
      </c>
      <c r="W368" s="83">
        <v>513</v>
      </c>
      <c r="X368" s="167"/>
      <c r="Z368" s="237">
        <f t="shared" si="44"/>
        <v>0</v>
      </c>
    </row>
    <row r="369" spans="1:26" s="141" customFormat="1" x14ac:dyDescent="0.25">
      <c r="A369" s="186">
        <v>27.4600000000001</v>
      </c>
      <c r="B369" s="165" t="s">
        <v>412</v>
      </c>
      <c r="C369" s="110">
        <v>2109020</v>
      </c>
      <c r="D369" s="275" t="s">
        <v>280</v>
      </c>
      <c r="E369" s="213"/>
      <c r="F369" s="110">
        <v>796</v>
      </c>
      <c r="G369" s="81" t="s">
        <v>17</v>
      </c>
      <c r="H369" s="129">
        <v>51</v>
      </c>
      <c r="I369" s="151">
        <v>98401</v>
      </c>
      <c r="J369" s="83" t="s">
        <v>429</v>
      </c>
      <c r="K369" s="24">
        <v>1683</v>
      </c>
      <c r="L369" s="246" t="str">
        <f t="shared" si="43"/>
        <v>4 квартал 2012</v>
      </c>
      <c r="M369" s="245">
        <v>41244</v>
      </c>
      <c r="N369" s="257"/>
      <c r="O369" s="24"/>
      <c r="P369" s="211"/>
      <c r="Q369" s="83"/>
      <c r="R369" s="83"/>
      <c r="S369" s="83"/>
      <c r="T369" s="83"/>
      <c r="U369" s="83"/>
      <c r="V369" s="83">
        <v>51</v>
      </c>
      <c r="W369" s="83">
        <v>1683</v>
      </c>
      <c r="X369" s="167"/>
      <c r="Z369" s="237">
        <f t="shared" si="44"/>
        <v>0</v>
      </c>
    </row>
    <row r="370" spans="1:26" s="141" customFormat="1" x14ac:dyDescent="0.25">
      <c r="A370" s="186">
        <v>27.470000000000098</v>
      </c>
      <c r="B370" s="165" t="s">
        <v>412</v>
      </c>
      <c r="C370" s="110">
        <v>2109020</v>
      </c>
      <c r="D370" s="275" t="s">
        <v>281</v>
      </c>
      <c r="E370" s="213"/>
      <c r="F370" s="110">
        <v>796</v>
      </c>
      <c r="G370" s="81" t="s">
        <v>17</v>
      </c>
      <c r="H370" s="129">
        <v>100</v>
      </c>
      <c r="I370" s="151">
        <v>98401</v>
      </c>
      <c r="J370" s="83" t="s">
        <v>429</v>
      </c>
      <c r="K370" s="24">
        <v>65000</v>
      </c>
      <c r="L370" s="246" t="str">
        <f t="shared" si="43"/>
        <v>4 квартал 2012</v>
      </c>
      <c r="M370" s="245">
        <v>41244</v>
      </c>
      <c r="N370" s="257"/>
      <c r="O370" s="24"/>
      <c r="P370" s="211"/>
      <c r="Q370" s="83"/>
      <c r="R370" s="83"/>
      <c r="S370" s="83"/>
      <c r="T370" s="83"/>
      <c r="U370" s="83">
        <v>0</v>
      </c>
      <c r="V370" s="83">
        <v>100</v>
      </c>
      <c r="W370" s="83">
        <v>65000</v>
      </c>
      <c r="X370" s="167"/>
      <c r="Z370" s="237">
        <f t="shared" si="44"/>
        <v>0</v>
      </c>
    </row>
    <row r="371" spans="1:26" s="141" customFormat="1" ht="24.75" x14ac:dyDescent="0.25">
      <c r="A371" s="186">
        <v>27.4800000000001</v>
      </c>
      <c r="B371" s="165" t="s">
        <v>412</v>
      </c>
      <c r="C371" s="110">
        <v>2109020</v>
      </c>
      <c r="D371" s="275" t="s">
        <v>282</v>
      </c>
      <c r="E371" s="213"/>
      <c r="F371" s="110">
        <v>796</v>
      </c>
      <c r="G371" s="81" t="s">
        <v>17</v>
      </c>
      <c r="H371" s="129">
        <v>101</v>
      </c>
      <c r="I371" s="151">
        <v>98401</v>
      </c>
      <c r="J371" s="83" t="s">
        <v>429</v>
      </c>
      <c r="K371" s="24">
        <v>55550</v>
      </c>
      <c r="L371" s="246" t="str">
        <f t="shared" si="43"/>
        <v>4 квартал 2012</v>
      </c>
      <c r="M371" s="245">
        <v>41244</v>
      </c>
      <c r="N371" s="257"/>
      <c r="O371" s="24"/>
      <c r="P371" s="211"/>
      <c r="Q371" s="83"/>
      <c r="R371" s="83"/>
      <c r="S371" s="83"/>
      <c r="T371" s="83"/>
      <c r="U371" s="83"/>
      <c r="V371" s="83">
        <v>101</v>
      </c>
      <c r="W371" s="83">
        <v>55550</v>
      </c>
      <c r="X371" s="167"/>
      <c r="Z371" s="237">
        <f t="shared" si="44"/>
        <v>0</v>
      </c>
    </row>
    <row r="372" spans="1:26" s="141" customFormat="1" x14ac:dyDescent="0.25">
      <c r="A372" s="186">
        <v>27.490000000000101</v>
      </c>
      <c r="B372" s="165" t="s">
        <v>412</v>
      </c>
      <c r="C372" s="110">
        <v>2109020</v>
      </c>
      <c r="D372" s="274" t="s">
        <v>283</v>
      </c>
      <c r="E372" s="11"/>
      <c r="F372" s="110">
        <v>796</v>
      </c>
      <c r="G372" s="81" t="s">
        <v>17</v>
      </c>
      <c r="H372" s="129">
        <v>17</v>
      </c>
      <c r="I372" s="151">
        <v>98401</v>
      </c>
      <c r="J372" s="83" t="s">
        <v>429</v>
      </c>
      <c r="K372" s="24">
        <v>11900</v>
      </c>
      <c r="L372" s="246" t="str">
        <f t="shared" si="43"/>
        <v>4 квартал 2012</v>
      </c>
      <c r="M372" s="245">
        <v>41244</v>
      </c>
      <c r="N372" s="257"/>
      <c r="O372" s="24"/>
      <c r="P372" s="211"/>
      <c r="Q372" s="83"/>
      <c r="R372" s="83"/>
      <c r="S372" s="83"/>
      <c r="T372" s="83"/>
      <c r="U372" s="83"/>
      <c r="V372" s="83">
        <v>17</v>
      </c>
      <c r="W372" s="83">
        <v>11900</v>
      </c>
      <c r="X372" s="167"/>
      <c r="Z372" s="237">
        <f t="shared" si="44"/>
        <v>0</v>
      </c>
    </row>
    <row r="373" spans="1:26" s="141" customFormat="1" x14ac:dyDescent="0.25">
      <c r="A373" s="186">
        <v>27.500000000000099</v>
      </c>
      <c r="B373" s="165" t="s">
        <v>412</v>
      </c>
      <c r="C373" s="110">
        <v>2109020</v>
      </c>
      <c r="D373" s="274" t="s">
        <v>284</v>
      </c>
      <c r="E373" s="11"/>
      <c r="F373" s="110">
        <v>796</v>
      </c>
      <c r="G373" s="81" t="s">
        <v>17</v>
      </c>
      <c r="H373" s="129">
        <v>17</v>
      </c>
      <c r="I373" s="151">
        <v>98401</v>
      </c>
      <c r="J373" s="83" t="s">
        <v>429</v>
      </c>
      <c r="K373" s="24">
        <v>11050</v>
      </c>
      <c r="L373" s="246" t="str">
        <f t="shared" si="43"/>
        <v>4 квартал 2012</v>
      </c>
      <c r="M373" s="245">
        <v>41244</v>
      </c>
      <c r="N373" s="257"/>
      <c r="O373" s="24"/>
      <c r="P373" s="211"/>
      <c r="Q373" s="83"/>
      <c r="R373" s="83"/>
      <c r="S373" s="83"/>
      <c r="T373" s="83"/>
      <c r="U373" s="83"/>
      <c r="V373" s="83">
        <v>17</v>
      </c>
      <c r="W373" s="83">
        <v>11050</v>
      </c>
      <c r="X373" s="167"/>
      <c r="Z373" s="237">
        <f t="shared" si="44"/>
        <v>0</v>
      </c>
    </row>
    <row r="374" spans="1:26" s="141" customFormat="1" x14ac:dyDescent="0.25">
      <c r="A374" s="186">
        <v>27.510000000000101</v>
      </c>
      <c r="B374" s="165" t="s">
        <v>412</v>
      </c>
      <c r="C374" s="110">
        <v>2109020</v>
      </c>
      <c r="D374" s="275" t="s">
        <v>285</v>
      </c>
      <c r="E374" s="213"/>
      <c r="F374" s="110">
        <v>796</v>
      </c>
      <c r="G374" s="81" t="s">
        <v>17</v>
      </c>
      <c r="H374" s="129">
        <v>1200</v>
      </c>
      <c r="I374" s="151">
        <v>98401</v>
      </c>
      <c r="J374" s="83" t="s">
        <v>429</v>
      </c>
      <c r="K374" s="24">
        <v>10800</v>
      </c>
      <c r="L374" s="246" t="str">
        <f t="shared" si="43"/>
        <v>2 квартал 2012</v>
      </c>
      <c r="M374" s="248"/>
      <c r="N374" s="257"/>
      <c r="O374" s="24"/>
      <c r="P374" s="211"/>
      <c r="Q374" s="83"/>
      <c r="R374" s="83">
        <v>1000</v>
      </c>
      <c r="S374" s="83">
        <v>9000</v>
      </c>
      <c r="T374" s="83"/>
      <c r="U374" s="83"/>
      <c r="V374" s="83">
        <v>200</v>
      </c>
      <c r="W374" s="83">
        <v>1800</v>
      </c>
      <c r="X374" s="167"/>
      <c r="Z374" s="237">
        <f t="shared" si="44"/>
        <v>0</v>
      </c>
    </row>
    <row r="375" spans="1:26" s="141" customFormat="1" x14ac:dyDescent="0.25">
      <c r="A375" s="186">
        <v>27.520000000000099</v>
      </c>
      <c r="B375" s="165" t="s">
        <v>412</v>
      </c>
      <c r="C375" s="110">
        <v>2109020</v>
      </c>
      <c r="D375" s="275" t="s">
        <v>286</v>
      </c>
      <c r="E375" s="213"/>
      <c r="F375" s="110">
        <v>796</v>
      </c>
      <c r="G375" s="81" t="s">
        <v>17</v>
      </c>
      <c r="H375" s="129">
        <v>4000</v>
      </c>
      <c r="I375" s="151">
        <v>98401</v>
      </c>
      <c r="J375" s="83" t="s">
        <v>429</v>
      </c>
      <c r="K375" s="24">
        <v>36000</v>
      </c>
      <c r="L375" s="246" t="str">
        <f t="shared" si="43"/>
        <v>2 квартал 2012</v>
      </c>
      <c r="M375" s="248"/>
      <c r="N375" s="257"/>
      <c r="O375" s="24"/>
      <c r="P375" s="211"/>
      <c r="Q375" s="83"/>
      <c r="R375" s="83">
        <v>4000</v>
      </c>
      <c r="S375" s="83">
        <v>36000</v>
      </c>
      <c r="T375" s="83"/>
      <c r="U375" s="83"/>
      <c r="V375" s="83">
        <v>0</v>
      </c>
      <c r="W375" s="83">
        <v>0</v>
      </c>
      <c r="X375" s="167"/>
      <c r="Z375" s="237">
        <f t="shared" si="44"/>
        <v>0</v>
      </c>
    </row>
    <row r="376" spans="1:26" s="141" customFormat="1" x14ac:dyDescent="0.25">
      <c r="A376" s="186">
        <v>27.530000000000101</v>
      </c>
      <c r="B376" s="165" t="s">
        <v>412</v>
      </c>
      <c r="C376" s="110">
        <v>2109020</v>
      </c>
      <c r="D376" s="275" t="s">
        <v>287</v>
      </c>
      <c r="E376" s="213"/>
      <c r="F376" s="110">
        <v>796</v>
      </c>
      <c r="G376" s="81" t="s">
        <v>17</v>
      </c>
      <c r="H376" s="129">
        <v>138</v>
      </c>
      <c r="I376" s="151">
        <v>98401</v>
      </c>
      <c r="J376" s="83" t="s">
        <v>429</v>
      </c>
      <c r="K376" s="24">
        <v>10350</v>
      </c>
      <c r="L376" s="246" t="str">
        <f t="shared" si="43"/>
        <v>2 квартал 2012</v>
      </c>
      <c r="M376" s="248"/>
      <c r="N376" s="257"/>
      <c r="O376" s="24"/>
      <c r="P376" s="211"/>
      <c r="Q376" s="83"/>
      <c r="R376" s="83">
        <v>100</v>
      </c>
      <c r="S376" s="83">
        <v>7500</v>
      </c>
      <c r="T376" s="83"/>
      <c r="U376" s="83"/>
      <c r="V376" s="83">
        <v>38</v>
      </c>
      <c r="W376" s="83">
        <v>2850</v>
      </c>
      <c r="X376" s="167"/>
      <c r="Z376" s="237">
        <f t="shared" si="44"/>
        <v>0</v>
      </c>
    </row>
    <row r="377" spans="1:26" s="141" customFormat="1" x14ac:dyDescent="0.25">
      <c r="A377" s="186">
        <v>27.540000000000099</v>
      </c>
      <c r="B377" s="165" t="s">
        <v>412</v>
      </c>
      <c r="C377" s="110">
        <v>2109020</v>
      </c>
      <c r="D377" s="275" t="s">
        <v>288</v>
      </c>
      <c r="E377" s="213"/>
      <c r="F377" s="110">
        <v>796</v>
      </c>
      <c r="G377" s="81" t="s">
        <v>17</v>
      </c>
      <c r="H377" s="129">
        <v>180</v>
      </c>
      <c r="I377" s="151">
        <v>98401</v>
      </c>
      <c r="J377" s="83" t="s">
        <v>429</v>
      </c>
      <c r="K377" s="24">
        <v>13500</v>
      </c>
      <c r="L377" s="246" t="str">
        <f t="shared" si="43"/>
        <v>2 квартал 2012</v>
      </c>
      <c r="M377" s="248"/>
      <c r="N377" s="257"/>
      <c r="O377" s="24"/>
      <c r="P377" s="211"/>
      <c r="Q377" s="83"/>
      <c r="R377" s="83">
        <v>150</v>
      </c>
      <c r="S377" s="83">
        <v>11250</v>
      </c>
      <c r="T377" s="83"/>
      <c r="U377" s="83"/>
      <c r="V377" s="83">
        <v>30</v>
      </c>
      <c r="W377" s="83">
        <v>2250</v>
      </c>
      <c r="X377" s="167"/>
      <c r="Z377" s="237">
        <f t="shared" si="44"/>
        <v>0</v>
      </c>
    </row>
    <row r="378" spans="1:26" s="141" customFormat="1" x14ac:dyDescent="0.25">
      <c r="A378" s="186">
        <v>27.5500000000001</v>
      </c>
      <c r="B378" s="165" t="s">
        <v>412</v>
      </c>
      <c r="C378" s="110">
        <v>2109020</v>
      </c>
      <c r="D378" s="274" t="s">
        <v>289</v>
      </c>
      <c r="E378" s="11"/>
      <c r="F378" s="110">
        <v>796</v>
      </c>
      <c r="G378" s="81" t="s">
        <v>17</v>
      </c>
      <c r="H378" s="129">
        <v>20</v>
      </c>
      <c r="I378" s="151">
        <v>98401</v>
      </c>
      <c r="J378" s="83" t="s">
        <v>429</v>
      </c>
      <c r="K378" s="24">
        <v>2000</v>
      </c>
      <c r="L378" s="246" t="str">
        <f t="shared" si="43"/>
        <v>2 квартал 2012</v>
      </c>
      <c r="M378" s="248"/>
      <c r="N378" s="257"/>
      <c r="O378" s="24"/>
      <c r="P378" s="211"/>
      <c r="Q378" s="83"/>
      <c r="R378" s="83">
        <v>20</v>
      </c>
      <c r="S378" s="83">
        <v>2000</v>
      </c>
      <c r="T378" s="83"/>
      <c r="U378" s="83"/>
      <c r="V378" s="83">
        <v>0</v>
      </c>
      <c r="W378" s="83">
        <v>0</v>
      </c>
      <c r="X378" s="167"/>
      <c r="Z378" s="237">
        <f t="shared" si="44"/>
        <v>0</v>
      </c>
    </row>
    <row r="379" spans="1:26" s="141" customFormat="1" ht="24.75" x14ac:dyDescent="0.25">
      <c r="A379" s="186">
        <v>27.560000000000102</v>
      </c>
      <c r="B379" s="165" t="s">
        <v>412</v>
      </c>
      <c r="C379" s="110">
        <v>2109020</v>
      </c>
      <c r="D379" s="275" t="s">
        <v>290</v>
      </c>
      <c r="E379" s="213"/>
      <c r="F379" s="110">
        <v>796</v>
      </c>
      <c r="G379" s="81" t="s">
        <v>17</v>
      </c>
      <c r="H379" s="129">
        <v>15900</v>
      </c>
      <c r="I379" s="151">
        <v>98401</v>
      </c>
      <c r="J379" s="83" t="s">
        <v>429</v>
      </c>
      <c r="K379" s="24">
        <v>19080</v>
      </c>
      <c r="L379" s="246" t="str">
        <f t="shared" si="43"/>
        <v>2 квартал 2012</v>
      </c>
      <c r="M379" s="248"/>
      <c r="N379" s="257"/>
      <c r="O379" s="24"/>
      <c r="P379" s="211"/>
      <c r="Q379" s="83"/>
      <c r="R379" s="83">
        <v>6000</v>
      </c>
      <c r="S379" s="83">
        <v>7200</v>
      </c>
      <c r="T379" s="83">
        <v>3000</v>
      </c>
      <c r="U379" s="83">
        <v>3600</v>
      </c>
      <c r="V379" s="83">
        <v>6900</v>
      </c>
      <c r="W379" s="83">
        <v>8280</v>
      </c>
      <c r="X379" s="167"/>
      <c r="Z379" s="237">
        <f t="shared" si="44"/>
        <v>0</v>
      </c>
    </row>
    <row r="380" spans="1:26" s="141" customFormat="1" x14ac:dyDescent="0.25">
      <c r="A380" s="186">
        <v>27.5700000000001</v>
      </c>
      <c r="B380" s="165" t="s">
        <v>412</v>
      </c>
      <c r="C380" s="110">
        <v>2109020</v>
      </c>
      <c r="D380" s="275" t="s">
        <v>291</v>
      </c>
      <c r="E380" s="213"/>
      <c r="F380" s="110">
        <v>796</v>
      </c>
      <c r="G380" s="81" t="s">
        <v>17</v>
      </c>
      <c r="H380" s="129">
        <v>7</v>
      </c>
      <c r="I380" s="151">
        <v>98401</v>
      </c>
      <c r="J380" s="83" t="s">
        <v>429</v>
      </c>
      <c r="K380" s="24">
        <v>805</v>
      </c>
      <c r="L380" s="246" t="str">
        <f t="shared" si="43"/>
        <v>4 квартал 2012</v>
      </c>
      <c r="M380" s="245">
        <v>41244</v>
      </c>
      <c r="N380" s="257"/>
      <c r="O380" s="24"/>
      <c r="P380" s="211"/>
      <c r="Q380" s="83"/>
      <c r="R380" s="83"/>
      <c r="S380" s="83"/>
      <c r="T380" s="83"/>
      <c r="U380" s="83"/>
      <c r="V380" s="83">
        <v>7</v>
      </c>
      <c r="W380" s="83">
        <v>805</v>
      </c>
      <c r="X380" s="167"/>
      <c r="Z380" s="237">
        <f t="shared" si="44"/>
        <v>0</v>
      </c>
    </row>
    <row r="381" spans="1:26" s="141" customFormat="1" ht="24.75" x14ac:dyDescent="0.25">
      <c r="A381" s="186">
        <v>27.580000000000101</v>
      </c>
      <c r="B381" s="165" t="s">
        <v>412</v>
      </c>
      <c r="C381" s="110">
        <v>2109020</v>
      </c>
      <c r="D381" s="275" t="s">
        <v>292</v>
      </c>
      <c r="E381" s="213"/>
      <c r="F381" s="110">
        <v>796</v>
      </c>
      <c r="G381" s="81" t="s">
        <v>17</v>
      </c>
      <c r="H381" s="129">
        <v>17</v>
      </c>
      <c r="I381" s="151">
        <v>98401</v>
      </c>
      <c r="J381" s="83" t="s">
        <v>429</v>
      </c>
      <c r="K381" s="24">
        <v>2057</v>
      </c>
      <c r="L381" s="246" t="str">
        <f t="shared" si="43"/>
        <v>4 квартал 2012</v>
      </c>
      <c r="M381" s="245">
        <v>41244</v>
      </c>
      <c r="N381" s="257"/>
      <c r="O381" s="24"/>
      <c r="P381" s="211"/>
      <c r="Q381" s="83"/>
      <c r="R381" s="83"/>
      <c r="S381" s="83"/>
      <c r="T381" s="83"/>
      <c r="U381" s="83"/>
      <c r="V381" s="83">
        <v>17</v>
      </c>
      <c r="W381" s="83">
        <v>2057</v>
      </c>
      <c r="X381" s="167"/>
      <c r="Z381" s="237">
        <f t="shared" si="44"/>
        <v>0</v>
      </c>
    </row>
    <row r="382" spans="1:26" s="141" customFormat="1" x14ac:dyDescent="0.25">
      <c r="A382" s="186">
        <v>27.590000000000099</v>
      </c>
      <c r="B382" s="165" t="s">
        <v>412</v>
      </c>
      <c r="C382" s="110">
        <v>2109020</v>
      </c>
      <c r="D382" s="275" t="s">
        <v>293</v>
      </c>
      <c r="E382" s="213"/>
      <c r="F382" s="110">
        <v>796</v>
      </c>
      <c r="G382" s="81" t="s">
        <v>17</v>
      </c>
      <c r="H382" s="129">
        <v>6</v>
      </c>
      <c r="I382" s="151">
        <v>98401</v>
      </c>
      <c r="J382" s="83" t="s">
        <v>429</v>
      </c>
      <c r="K382" s="24">
        <v>150</v>
      </c>
      <c r="L382" s="246" t="str">
        <f t="shared" si="43"/>
        <v>4 квартал 2012</v>
      </c>
      <c r="M382" s="245">
        <v>41244</v>
      </c>
      <c r="N382" s="257"/>
      <c r="O382" s="24"/>
      <c r="P382" s="211"/>
      <c r="Q382" s="83"/>
      <c r="R382" s="83"/>
      <c r="S382" s="83"/>
      <c r="T382" s="83"/>
      <c r="U382" s="83"/>
      <c r="V382" s="83">
        <v>6</v>
      </c>
      <c r="W382" s="83">
        <v>150</v>
      </c>
      <c r="X382" s="167"/>
      <c r="Z382" s="237">
        <f t="shared" si="44"/>
        <v>0</v>
      </c>
    </row>
    <row r="383" spans="1:26" s="141" customFormat="1" x14ac:dyDescent="0.25">
      <c r="A383" s="186">
        <v>27.600000000000101</v>
      </c>
      <c r="B383" s="165" t="s">
        <v>412</v>
      </c>
      <c r="C383" s="110">
        <v>2109020</v>
      </c>
      <c r="D383" s="266" t="s">
        <v>294</v>
      </c>
      <c r="E383" s="213"/>
      <c r="F383" s="110">
        <v>796</v>
      </c>
      <c r="G383" s="81" t="s">
        <v>17</v>
      </c>
      <c r="H383" s="129">
        <v>18</v>
      </c>
      <c r="I383" s="151">
        <v>98401</v>
      </c>
      <c r="J383" s="83" t="s">
        <v>429</v>
      </c>
      <c r="K383" s="24">
        <v>450</v>
      </c>
      <c r="L383" s="246" t="str">
        <f t="shared" si="43"/>
        <v>4 квартал 2012</v>
      </c>
      <c r="M383" s="245">
        <v>41244</v>
      </c>
      <c r="N383" s="257"/>
      <c r="O383" s="24"/>
      <c r="P383" s="211"/>
      <c r="Q383" s="83"/>
      <c r="R383" s="83"/>
      <c r="S383" s="83"/>
      <c r="T383" s="83"/>
      <c r="U383" s="83"/>
      <c r="V383" s="83">
        <v>18</v>
      </c>
      <c r="W383" s="83">
        <v>450</v>
      </c>
      <c r="X383" s="167"/>
      <c r="Z383" s="237">
        <f t="shared" si="44"/>
        <v>0</v>
      </c>
    </row>
    <row r="384" spans="1:26" s="141" customFormat="1" x14ac:dyDescent="0.25">
      <c r="A384" s="186">
        <v>27.610000000000099</v>
      </c>
      <c r="B384" s="165" t="s">
        <v>412</v>
      </c>
      <c r="C384" s="110">
        <v>2109020</v>
      </c>
      <c r="D384" s="266" t="s">
        <v>295</v>
      </c>
      <c r="E384" s="213"/>
      <c r="F384" s="110">
        <v>796</v>
      </c>
      <c r="G384" s="81" t="s">
        <v>17</v>
      </c>
      <c r="H384" s="129">
        <v>106</v>
      </c>
      <c r="I384" s="151">
        <v>98401</v>
      </c>
      <c r="J384" s="83" t="s">
        <v>429</v>
      </c>
      <c r="K384" s="24">
        <v>5300</v>
      </c>
      <c r="L384" s="246" t="str">
        <f t="shared" si="43"/>
        <v>3 квартал 2012</v>
      </c>
      <c r="M384" s="248"/>
      <c r="N384" s="257"/>
      <c r="O384" s="24"/>
      <c r="P384" s="211"/>
      <c r="Q384" s="83"/>
      <c r="R384" s="83"/>
      <c r="S384" s="83"/>
      <c r="T384" s="83">
        <v>50</v>
      </c>
      <c r="U384" s="83">
        <v>2500</v>
      </c>
      <c r="V384" s="83">
        <v>56</v>
      </c>
      <c r="W384" s="83">
        <v>2800</v>
      </c>
      <c r="X384" s="167"/>
      <c r="Z384" s="237">
        <f t="shared" si="44"/>
        <v>0</v>
      </c>
    </row>
    <row r="385" spans="1:26" s="141" customFormat="1" x14ac:dyDescent="0.25">
      <c r="A385" s="186">
        <v>27.6200000000001</v>
      </c>
      <c r="B385" s="165" t="s">
        <v>412</v>
      </c>
      <c r="C385" s="110">
        <v>2109020</v>
      </c>
      <c r="D385" s="275" t="s">
        <v>296</v>
      </c>
      <c r="E385" s="213"/>
      <c r="F385" s="110">
        <v>796</v>
      </c>
      <c r="G385" s="81" t="s">
        <v>17</v>
      </c>
      <c r="H385" s="129">
        <v>47</v>
      </c>
      <c r="I385" s="151">
        <v>98401</v>
      </c>
      <c r="J385" s="83" t="s">
        <v>429</v>
      </c>
      <c r="K385" s="24">
        <v>1034</v>
      </c>
      <c r="L385" s="246" t="str">
        <f t="shared" si="43"/>
        <v>4 квартал 2012</v>
      </c>
      <c r="M385" s="245">
        <v>41244</v>
      </c>
      <c r="N385" s="257"/>
      <c r="O385" s="24"/>
      <c r="P385" s="211"/>
      <c r="Q385" s="83"/>
      <c r="R385" s="83"/>
      <c r="S385" s="83"/>
      <c r="T385" s="83"/>
      <c r="U385" s="83"/>
      <c r="V385" s="83">
        <v>47</v>
      </c>
      <c r="W385" s="83">
        <v>1034</v>
      </c>
      <c r="X385" s="167"/>
      <c r="Z385" s="237">
        <f t="shared" si="44"/>
        <v>0</v>
      </c>
    </row>
    <row r="386" spans="1:26" s="141" customFormat="1" x14ac:dyDescent="0.25">
      <c r="A386" s="186">
        <v>27.630000000000098</v>
      </c>
      <c r="B386" s="165" t="s">
        <v>412</v>
      </c>
      <c r="C386" s="110">
        <v>2109020</v>
      </c>
      <c r="D386" s="275" t="s">
        <v>297</v>
      </c>
      <c r="E386" s="213"/>
      <c r="F386" s="110">
        <v>796</v>
      </c>
      <c r="G386" s="81" t="s">
        <v>17</v>
      </c>
      <c r="H386" s="129">
        <v>11</v>
      </c>
      <c r="I386" s="151">
        <v>98401</v>
      </c>
      <c r="J386" s="83" t="s">
        <v>429</v>
      </c>
      <c r="K386" s="24">
        <v>242</v>
      </c>
      <c r="L386" s="246" t="str">
        <f t="shared" si="43"/>
        <v>4 квартал 2012</v>
      </c>
      <c r="M386" s="245">
        <v>41244</v>
      </c>
      <c r="N386" s="257"/>
      <c r="O386" s="24"/>
      <c r="P386" s="211"/>
      <c r="Q386" s="83"/>
      <c r="R386" s="83"/>
      <c r="S386" s="83"/>
      <c r="T386" s="83"/>
      <c r="U386" s="83"/>
      <c r="V386" s="83">
        <v>11</v>
      </c>
      <c r="W386" s="83">
        <v>242</v>
      </c>
      <c r="X386" s="167"/>
      <c r="Z386" s="237">
        <f t="shared" si="44"/>
        <v>0</v>
      </c>
    </row>
    <row r="387" spans="1:26" s="141" customFormat="1" x14ac:dyDescent="0.25">
      <c r="A387" s="186">
        <v>27.6400000000001</v>
      </c>
      <c r="B387" s="165" t="s">
        <v>412</v>
      </c>
      <c r="C387" s="110">
        <v>2109020</v>
      </c>
      <c r="D387" s="275" t="s">
        <v>298</v>
      </c>
      <c r="E387" s="213"/>
      <c r="F387" s="110">
        <v>796</v>
      </c>
      <c r="G387" s="81" t="s">
        <v>17</v>
      </c>
      <c r="H387" s="129">
        <v>50</v>
      </c>
      <c r="I387" s="151">
        <v>98401</v>
      </c>
      <c r="J387" s="83" t="s">
        <v>429</v>
      </c>
      <c r="K387" s="24">
        <v>1200</v>
      </c>
      <c r="L387" s="246" t="str">
        <f t="shared" si="43"/>
        <v>2 квартал 2012</v>
      </c>
      <c r="M387" s="248"/>
      <c r="N387" s="257"/>
      <c r="O387" s="24"/>
      <c r="P387" s="211"/>
      <c r="Q387" s="83"/>
      <c r="R387" s="83">
        <v>50</v>
      </c>
      <c r="S387" s="83">
        <v>1200</v>
      </c>
      <c r="T387" s="83"/>
      <c r="U387" s="83"/>
      <c r="V387" s="83">
        <v>0</v>
      </c>
      <c r="W387" s="83">
        <v>0</v>
      </c>
      <c r="X387" s="167"/>
      <c r="Z387" s="237">
        <f t="shared" si="44"/>
        <v>0</v>
      </c>
    </row>
    <row r="388" spans="1:26" s="141" customFormat="1" x14ac:dyDescent="0.25">
      <c r="A388" s="186">
        <v>27.650000000000102</v>
      </c>
      <c r="B388" s="165" t="s">
        <v>412</v>
      </c>
      <c r="C388" s="110">
        <v>2109020</v>
      </c>
      <c r="D388" s="275" t="s">
        <v>299</v>
      </c>
      <c r="E388" s="213"/>
      <c r="F388" s="110">
        <v>796</v>
      </c>
      <c r="G388" s="81" t="s">
        <v>17</v>
      </c>
      <c r="H388" s="129">
        <v>928</v>
      </c>
      <c r="I388" s="151">
        <v>98401</v>
      </c>
      <c r="J388" s="83" t="s">
        <v>429</v>
      </c>
      <c r="K388" s="24">
        <v>7424</v>
      </c>
      <c r="L388" s="246" t="str">
        <f t="shared" ref="L388:L412" si="45">IF(Q388&gt;0,"1 квартал 2012",IF(S388&gt;0,"2 квартал 2012",IF(U388&gt;0,"3 квартал 2012","4 квартал 2012")))</f>
        <v>2 квартал 2012</v>
      </c>
      <c r="M388" s="248"/>
      <c r="N388" s="257"/>
      <c r="O388" s="24"/>
      <c r="P388" s="211"/>
      <c r="Q388" s="83"/>
      <c r="R388" s="83">
        <v>300</v>
      </c>
      <c r="S388" s="83">
        <v>2400</v>
      </c>
      <c r="T388" s="83">
        <v>300</v>
      </c>
      <c r="U388" s="83">
        <v>2400</v>
      </c>
      <c r="V388" s="83">
        <v>328</v>
      </c>
      <c r="W388" s="83">
        <v>2624</v>
      </c>
      <c r="X388" s="167"/>
      <c r="Z388" s="237">
        <f t="shared" si="44"/>
        <v>0</v>
      </c>
    </row>
    <row r="389" spans="1:26" s="141" customFormat="1" x14ac:dyDescent="0.25">
      <c r="A389" s="186">
        <v>27.6600000000001</v>
      </c>
      <c r="B389" s="165" t="s">
        <v>412</v>
      </c>
      <c r="C389" s="110">
        <v>2109020</v>
      </c>
      <c r="D389" s="275" t="s">
        <v>300</v>
      </c>
      <c r="E389" s="213"/>
      <c r="F389" s="110">
        <v>796</v>
      </c>
      <c r="G389" s="81" t="s">
        <v>17</v>
      </c>
      <c r="H389" s="129">
        <v>10</v>
      </c>
      <c r="I389" s="151">
        <v>98401</v>
      </c>
      <c r="J389" s="83" t="s">
        <v>429</v>
      </c>
      <c r="K389" s="24">
        <v>80</v>
      </c>
      <c r="L389" s="246" t="str">
        <f t="shared" si="45"/>
        <v>4 квартал 2012</v>
      </c>
      <c r="M389" s="245">
        <v>41244</v>
      </c>
      <c r="N389" s="257"/>
      <c r="O389" s="24"/>
      <c r="P389" s="211"/>
      <c r="Q389" s="83"/>
      <c r="R389" s="83"/>
      <c r="S389" s="83"/>
      <c r="T389" s="83"/>
      <c r="U389" s="83"/>
      <c r="V389" s="83">
        <v>10</v>
      </c>
      <c r="W389" s="83">
        <v>80</v>
      </c>
      <c r="X389" s="167"/>
      <c r="Z389" s="237">
        <f t="shared" si="44"/>
        <v>0</v>
      </c>
    </row>
    <row r="390" spans="1:26" s="141" customFormat="1" x14ac:dyDescent="0.25">
      <c r="A390" s="186">
        <v>27.670000000000101</v>
      </c>
      <c r="B390" s="165" t="s">
        <v>412</v>
      </c>
      <c r="C390" s="110">
        <v>2109020</v>
      </c>
      <c r="D390" s="275" t="s">
        <v>301</v>
      </c>
      <c r="E390" s="213"/>
      <c r="F390" s="110">
        <v>796</v>
      </c>
      <c r="G390" s="81" t="s">
        <v>17</v>
      </c>
      <c r="H390" s="129">
        <v>50</v>
      </c>
      <c r="I390" s="151">
        <v>98401</v>
      </c>
      <c r="J390" s="83" t="s">
        <v>429</v>
      </c>
      <c r="K390" s="24">
        <v>2400</v>
      </c>
      <c r="L390" s="246" t="str">
        <f t="shared" si="45"/>
        <v>2 квартал 2012</v>
      </c>
      <c r="M390" s="248"/>
      <c r="N390" s="257"/>
      <c r="O390" s="24"/>
      <c r="P390" s="211"/>
      <c r="Q390" s="83"/>
      <c r="R390" s="83">
        <v>50</v>
      </c>
      <c r="S390" s="83">
        <v>2400</v>
      </c>
      <c r="T390" s="83"/>
      <c r="U390" s="83"/>
      <c r="V390" s="83">
        <v>0</v>
      </c>
      <c r="W390" s="83">
        <v>0</v>
      </c>
      <c r="X390" s="167"/>
      <c r="Z390" s="237">
        <f t="shared" si="44"/>
        <v>0</v>
      </c>
    </row>
    <row r="391" spans="1:26" s="141" customFormat="1" x14ac:dyDescent="0.25">
      <c r="A391" s="186">
        <v>27.680000000000099</v>
      </c>
      <c r="B391" s="165" t="s">
        <v>412</v>
      </c>
      <c r="C391" s="110">
        <v>2109020</v>
      </c>
      <c r="D391" s="275" t="s">
        <v>302</v>
      </c>
      <c r="E391" s="213"/>
      <c r="F391" s="110">
        <v>796</v>
      </c>
      <c r="G391" s="81" t="s">
        <v>17</v>
      </c>
      <c r="H391" s="129">
        <v>14</v>
      </c>
      <c r="I391" s="151">
        <v>98401</v>
      </c>
      <c r="J391" s="83" t="s">
        <v>429</v>
      </c>
      <c r="K391" s="24">
        <v>770</v>
      </c>
      <c r="L391" s="246" t="str">
        <f t="shared" si="45"/>
        <v>4 квартал 2012</v>
      </c>
      <c r="M391" s="245">
        <v>41244</v>
      </c>
      <c r="N391" s="257"/>
      <c r="O391" s="24"/>
      <c r="P391" s="211"/>
      <c r="Q391" s="83"/>
      <c r="R391" s="83"/>
      <c r="S391" s="83"/>
      <c r="T391" s="83"/>
      <c r="U391" s="83"/>
      <c r="V391" s="83">
        <v>14</v>
      </c>
      <c r="W391" s="83">
        <v>770</v>
      </c>
      <c r="X391" s="167"/>
      <c r="Z391" s="237">
        <f t="shared" si="44"/>
        <v>0</v>
      </c>
    </row>
    <row r="392" spans="1:26" s="141" customFormat="1" x14ac:dyDescent="0.25">
      <c r="A392" s="186">
        <v>27.690000000000101</v>
      </c>
      <c r="B392" s="165" t="s">
        <v>412</v>
      </c>
      <c r="C392" s="110">
        <v>2109020</v>
      </c>
      <c r="D392" s="275" t="s">
        <v>303</v>
      </c>
      <c r="E392" s="213"/>
      <c r="F392" s="110">
        <v>796</v>
      </c>
      <c r="G392" s="81" t="s">
        <v>17</v>
      </c>
      <c r="H392" s="129">
        <v>30</v>
      </c>
      <c r="I392" s="151">
        <v>98401</v>
      </c>
      <c r="J392" s="83" t="s">
        <v>429</v>
      </c>
      <c r="K392" s="24">
        <v>1950</v>
      </c>
      <c r="L392" s="246" t="str">
        <f t="shared" si="45"/>
        <v>2 квартал 2012</v>
      </c>
      <c r="M392" s="248"/>
      <c r="N392" s="257"/>
      <c r="O392" s="24"/>
      <c r="P392" s="211"/>
      <c r="Q392" s="83"/>
      <c r="R392" s="83">
        <v>30</v>
      </c>
      <c r="S392" s="83">
        <v>1950</v>
      </c>
      <c r="T392" s="83"/>
      <c r="U392" s="83"/>
      <c r="V392" s="83">
        <v>0</v>
      </c>
      <c r="W392" s="83">
        <v>0</v>
      </c>
      <c r="X392" s="167"/>
      <c r="Z392" s="237">
        <f t="shared" si="44"/>
        <v>0</v>
      </c>
    </row>
    <row r="393" spans="1:26" s="141" customFormat="1" x14ac:dyDescent="0.25">
      <c r="A393" s="186">
        <v>27.700000000000099</v>
      </c>
      <c r="B393" s="165" t="s">
        <v>412</v>
      </c>
      <c r="C393" s="110">
        <v>2109020</v>
      </c>
      <c r="D393" s="275" t="s">
        <v>304</v>
      </c>
      <c r="E393" s="213"/>
      <c r="F393" s="110">
        <v>796</v>
      </c>
      <c r="G393" s="81" t="s">
        <v>17</v>
      </c>
      <c r="H393" s="129">
        <v>217</v>
      </c>
      <c r="I393" s="151">
        <v>98401</v>
      </c>
      <c r="J393" s="83" t="s">
        <v>429</v>
      </c>
      <c r="K393" s="24">
        <v>3461.15</v>
      </c>
      <c r="L393" s="246" t="str">
        <f t="shared" si="45"/>
        <v>2 квартал 2012</v>
      </c>
      <c r="M393" s="248"/>
      <c r="N393" s="257"/>
      <c r="O393" s="24"/>
      <c r="P393" s="211"/>
      <c r="Q393" s="83"/>
      <c r="R393" s="83">
        <v>200</v>
      </c>
      <c r="S393" s="83">
        <v>3190</v>
      </c>
      <c r="T393" s="83"/>
      <c r="U393" s="83"/>
      <c r="V393" s="83">
        <v>17</v>
      </c>
      <c r="W393" s="83">
        <v>271.14999999999998</v>
      </c>
      <c r="X393" s="167"/>
      <c r="Z393" s="237">
        <f t="shared" si="44"/>
        <v>0</v>
      </c>
    </row>
    <row r="394" spans="1:26" s="141" customFormat="1" x14ac:dyDescent="0.25">
      <c r="A394" s="186">
        <v>27.7100000000001</v>
      </c>
      <c r="B394" s="165" t="s">
        <v>412</v>
      </c>
      <c r="C394" s="110">
        <v>2109020</v>
      </c>
      <c r="D394" s="275" t="s">
        <v>305</v>
      </c>
      <c r="E394" s="213"/>
      <c r="F394" s="110">
        <v>796</v>
      </c>
      <c r="G394" s="81" t="s">
        <v>17</v>
      </c>
      <c r="H394" s="129">
        <v>200</v>
      </c>
      <c r="I394" s="151">
        <v>98401</v>
      </c>
      <c r="J394" s="83" t="s">
        <v>429</v>
      </c>
      <c r="K394" s="24">
        <v>1400</v>
      </c>
      <c r="L394" s="246" t="str">
        <f t="shared" si="45"/>
        <v>2 квартал 2012</v>
      </c>
      <c r="M394" s="248"/>
      <c r="N394" s="257"/>
      <c r="O394" s="24"/>
      <c r="P394" s="211"/>
      <c r="Q394" s="83"/>
      <c r="R394" s="83">
        <v>200</v>
      </c>
      <c r="S394" s="83">
        <v>1400</v>
      </c>
      <c r="T394" s="83"/>
      <c r="U394" s="83"/>
      <c r="V394" s="83">
        <v>0</v>
      </c>
      <c r="W394" s="83">
        <v>0</v>
      </c>
      <c r="X394" s="167"/>
      <c r="Z394" s="237">
        <f t="shared" si="44"/>
        <v>0</v>
      </c>
    </row>
    <row r="395" spans="1:26" s="141" customFormat="1" x14ac:dyDescent="0.25">
      <c r="A395" s="186">
        <v>27.720000000000098</v>
      </c>
      <c r="B395" s="165" t="s">
        <v>412</v>
      </c>
      <c r="C395" s="110">
        <v>2109020</v>
      </c>
      <c r="D395" s="275" t="s">
        <v>306</v>
      </c>
      <c r="E395" s="213"/>
      <c r="F395" s="110">
        <v>796</v>
      </c>
      <c r="G395" s="81" t="s">
        <v>17</v>
      </c>
      <c r="H395" s="129">
        <v>128</v>
      </c>
      <c r="I395" s="151">
        <v>98401</v>
      </c>
      <c r="J395" s="83" t="s">
        <v>429</v>
      </c>
      <c r="K395" s="24">
        <v>4352</v>
      </c>
      <c r="L395" s="246" t="str">
        <f t="shared" si="45"/>
        <v>3 квартал 2012</v>
      </c>
      <c r="M395" s="248"/>
      <c r="N395" s="257"/>
      <c r="O395" s="24"/>
      <c r="P395" s="211"/>
      <c r="Q395" s="83"/>
      <c r="R395" s="83"/>
      <c r="S395" s="83"/>
      <c r="T395" s="83">
        <v>60</v>
      </c>
      <c r="U395" s="83">
        <v>2040</v>
      </c>
      <c r="V395" s="83">
        <v>68</v>
      </c>
      <c r="W395" s="83">
        <v>2312</v>
      </c>
      <c r="X395" s="167"/>
      <c r="Z395" s="237">
        <f t="shared" si="44"/>
        <v>0</v>
      </c>
    </row>
    <row r="396" spans="1:26" s="141" customFormat="1" x14ac:dyDescent="0.25">
      <c r="A396" s="186">
        <v>27.7300000000001</v>
      </c>
      <c r="B396" s="165" t="s">
        <v>412</v>
      </c>
      <c r="C396" s="110">
        <v>2109020</v>
      </c>
      <c r="D396" s="275" t="s">
        <v>307</v>
      </c>
      <c r="E396" s="213"/>
      <c r="F396" s="110">
        <v>796</v>
      </c>
      <c r="G396" s="81" t="s">
        <v>17</v>
      </c>
      <c r="H396" s="129">
        <v>184</v>
      </c>
      <c r="I396" s="151">
        <v>98401</v>
      </c>
      <c r="J396" s="83" t="s">
        <v>429</v>
      </c>
      <c r="K396" s="24">
        <v>9936</v>
      </c>
      <c r="L396" s="246" t="str">
        <f t="shared" si="45"/>
        <v>2 квартал 2012</v>
      </c>
      <c r="M396" s="248"/>
      <c r="N396" s="257"/>
      <c r="O396" s="24"/>
      <c r="P396" s="211"/>
      <c r="Q396" s="83"/>
      <c r="R396" s="83">
        <v>60</v>
      </c>
      <c r="S396" s="83">
        <v>3240</v>
      </c>
      <c r="T396" s="83">
        <v>60</v>
      </c>
      <c r="U396" s="83">
        <v>3240</v>
      </c>
      <c r="V396" s="83">
        <v>64</v>
      </c>
      <c r="W396" s="83">
        <v>3456</v>
      </c>
      <c r="X396" s="167"/>
      <c r="Z396" s="237">
        <f t="shared" si="44"/>
        <v>0</v>
      </c>
    </row>
    <row r="397" spans="1:26" s="141" customFormat="1" x14ac:dyDescent="0.25">
      <c r="A397" s="186">
        <v>27.740000000000101</v>
      </c>
      <c r="B397" s="165" t="s">
        <v>412</v>
      </c>
      <c r="C397" s="110">
        <v>2109020</v>
      </c>
      <c r="D397" s="275" t="s">
        <v>308</v>
      </c>
      <c r="E397" s="213"/>
      <c r="F397" s="110">
        <v>796</v>
      </c>
      <c r="G397" s="81" t="s">
        <v>17</v>
      </c>
      <c r="H397" s="129">
        <v>200</v>
      </c>
      <c r="I397" s="151">
        <v>98401</v>
      </c>
      <c r="J397" s="83" t="s">
        <v>429</v>
      </c>
      <c r="K397" s="24">
        <v>5000</v>
      </c>
      <c r="L397" s="246" t="str">
        <f t="shared" si="45"/>
        <v>3 квартал 2012</v>
      </c>
      <c r="M397" s="248"/>
      <c r="N397" s="257"/>
      <c r="O397" s="24"/>
      <c r="P397" s="211"/>
      <c r="Q397" s="83"/>
      <c r="R397" s="83"/>
      <c r="S397" s="83"/>
      <c r="T397" s="83">
        <v>100</v>
      </c>
      <c r="U397" s="83">
        <v>2500</v>
      </c>
      <c r="V397" s="83">
        <v>100</v>
      </c>
      <c r="W397" s="83">
        <v>2500</v>
      </c>
      <c r="X397" s="167"/>
      <c r="Z397" s="237">
        <f t="shared" si="44"/>
        <v>0</v>
      </c>
    </row>
    <row r="398" spans="1:26" s="141" customFormat="1" x14ac:dyDescent="0.25">
      <c r="A398" s="186">
        <v>27.750000000000099</v>
      </c>
      <c r="B398" s="165" t="s">
        <v>412</v>
      </c>
      <c r="C398" s="110">
        <v>2109020</v>
      </c>
      <c r="D398" s="275" t="s">
        <v>309</v>
      </c>
      <c r="E398" s="213"/>
      <c r="F398" s="110">
        <v>796</v>
      </c>
      <c r="G398" s="81" t="s">
        <v>17</v>
      </c>
      <c r="H398" s="129">
        <v>153</v>
      </c>
      <c r="I398" s="151">
        <v>98401</v>
      </c>
      <c r="J398" s="83" t="s">
        <v>429</v>
      </c>
      <c r="K398" s="24">
        <v>7038</v>
      </c>
      <c r="L398" s="246" t="str">
        <f t="shared" si="45"/>
        <v>3 квартал 2012</v>
      </c>
      <c r="M398" s="248"/>
      <c r="N398" s="257"/>
      <c r="O398" s="24"/>
      <c r="P398" s="211"/>
      <c r="Q398" s="83"/>
      <c r="R398" s="83"/>
      <c r="S398" s="83"/>
      <c r="T398" s="83">
        <v>50</v>
      </c>
      <c r="U398" s="83">
        <v>2300</v>
      </c>
      <c r="V398" s="83">
        <v>103</v>
      </c>
      <c r="W398" s="83">
        <v>4738</v>
      </c>
      <c r="X398" s="167"/>
      <c r="Z398" s="237">
        <f t="shared" si="44"/>
        <v>0</v>
      </c>
    </row>
    <row r="399" spans="1:26" s="141" customFormat="1" ht="24.75" x14ac:dyDescent="0.25">
      <c r="A399" s="186">
        <v>27.760000000000101</v>
      </c>
      <c r="B399" s="165" t="s">
        <v>412</v>
      </c>
      <c r="C399" s="110">
        <v>2109020</v>
      </c>
      <c r="D399" s="265" t="s">
        <v>310</v>
      </c>
      <c r="E399" s="114"/>
      <c r="F399" s="110">
        <v>796</v>
      </c>
      <c r="G399" s="81" t="s">
        <v>17</v>
      </c>
      <c r="H399" s="129">
        <v>5</v>
      </c>
      <c r="I399" s="151">
        <v>98401</v>
      </c>
      <c r="J399" s="83" t="s">
        <v>429</v>
      </c>
      <c r="K399" s="24">
        <v>250</v>
      </c>
      <c r="L399" s="246" t="str">
        <f t="shared" si="45"/>
        <v>4 квартал 2012</v>
      </c>
      <c r="M399" s="245">
        <v>41244</v>
      </c>
      <c r="N399" s="257"/>
      <c r="O399" s="24"/>
      <c r="P399" s="211"/>
      <c r="Q399" s="83"/>
      <c r="R399" s="83"/>
      <c r="S399" s="83"/>
      <c r="T399" s="83"/>
      <c r="U399" s="83"/>
      <c r="V399" s="83">
        <v>5</v>
      </c>
      <c r="W399" s="83">
        <v>250</v>
      </c>
      <c r="X399" s="167"/>
      <c r="Z399" s="237">
        <f t="shared" si="44"/>
        <v>0</v>
      </c>
    </row>
    <row r="400" spans="1:26" s="141" customFormat="1" x14ac:dyDescent="0.25">
      <c r="A400" s="186">
        <v>27.770000000000099</v>
      </c>
      <c r="B400" s="165" t="s">
        <v>412</v>
      </c>
      <c r="C400" s="110">
        <v>2109020</v>
      </c>
      <c r="D400" s="275" t="s">
        <v>311</v>
      </c>
      <c r="E400" s="213"/>
      <c r="F400" s="110">
        <v>796</v>
      </c>
      <c r="G400" s="81" t="s">
        <v>17</v>
      </c>
      <c r="H400" s="129">
        <v>1</v>
      </c>
      <c r="I400" s="151">
        <v>98401</v>
      </c>
      <c r="J400" s="83" t="s">
        <v>429</v>
      </c>
      <c r="K400" s="24">
        <v>1016</v>
      </c>
      <c r="L400" s="246" t="str">
        <f t="shared" si="45"/>
        <v>2 квартал 2012</v>
      </c>
      <c r="M400" s="248"/>
      <c r="N400" s="257"/>
      <c r="O400" s="24"/>
      <c r="P400" s="211"/>
      <c r="Q400" s="83"/>
      <c r="R400" s="83">
        <v>1</v>
      </c>
      <c r="S400" s="83">
        <v>1016</v>
      </c>
      <c r="T400" s="83"/>
      <c r="U400" s="83"/>
      <c r="V400" s="83">
        <v>0</v>
      </c>
      <c r="W400" s="83">
        <v>0</v>
      </c>
      <c r="X400" s="167"/>
      <c r="Z400" s="237">
        <f t="shared" si="44"/>
        <v>0</v>
      </c>
    </row>
    <row r="401" spans="1:26" s="141" customFormat="1" x14ac:dyDescent="0.25">
      <c r="A401" s="186">
        <v>27.780000000000101</v>
      </c>
      <c r="B401" s="165" t="s">
        <v>412</v>
      </c>
      <c r="C401" s="110">
        <v>2109020</v>
      </c>
      <c r="D401" s="275" t="s">
        <v>312</v>
      </c>
      <c r="E401" s="213"/>
      <c r="F401" s="110">
        <v>796</v>
      </c>
      <c r="G401" s="81" t="s">
        <v>17</v>
      </c>
      <c r="H401" s="129">
        <v>31</v>
      </c>
      <c r="I401" s="151">
        <v>98401</v>
      </c>
      <c r="J401" s="83" t="s">
        <v>429</v>
      </c>
      <c r="K401" s="24">
        <v>3738.6</v>
      </c>
      <c r="L401" s="246" t="str">
        <f t="shared" si="45"/>
        <v>4 квартал 2012</v>
      </c>
      <c r="M401" s="245">
        <v>41244</v>
      </c>
      <c r="N401" s="257"/>
      <c r="O401" s="24"/>
      <c r="P401" s="211"/>
      <c r="Q401" s="83"/>
      <c r="R401" s="83"/>
      <c r="S401" s="83"/>
      <c r="T401" s="83"/>
      <c r="U401" s="83"/>
      <c r="V401" s="83">
        <v>31</v>
      </c>
      <c r="W401" s="83">
        <v>3738.6</v>
      </c>
      <c r="X401" s="167"/>
      <c r="Z401" s="237">
        <f t="shared" si="44"/>
        <v>0</v>
      </c>
    </row>
    <row r="402" spans="1:26" s="141" customFormat="1" x14ac:dyDescent="0.25">
      <c r="A402" s="186">
        <v>27.790000000000099</v>
      </c>
      <c r="B402" s="165" t="s">
        <v>412</v>
      </c>
      <c r="C402" s="110">
        <v>2109020</v>
      </c>
      <c r="D402" s="275" t="s">
        <v>313</v>
      </c>
      <c r="E402" s="213"/>
      <c r="F402" s="110">
        <v>796</v>
      </c>
      <c r="G402" s="81" t="s">
        <v>17</v>
      </c>
      <c r="H402" s="129">
        <v>19</v>
      </c>
      <c r="I402" s="151">
        <v>98401</v>
      </c>
      <c r="J402" s="83" t="s">
        <v>429</v>
      </c>
      <c r="K402" s="24">
        <v>836</v>
      </c>
      <c r="L402" s="246" t="str">
        <f t="shared" si="45"/>
        <v>4 квартал 2012</v>
      </c>
      <c r="M402" s="245">
        <v>41244</v>
      </c>
      <c r="N402" s="257"/>
      <c r="O402" s="24"/>
      <c r="P402" s="211"/>
      <c r="Q402" s="83"/>
      <c r="R402" s="83"/>
      <c r="S402" s="83"/>
      <c r="T402" s="83"/>
      <c r="U402" s="83"/>
      <c r="V402" s="83">
        <v>19</v>
      </c>
      <c r="W402" s="83">
        <v>836</v>
      </c>
      <c r="X402" s="167"/>
      <c r="Z402" s="237">
        <f t="shared" si="44"/>
        <v>0</v>
      </c>
    </row>
    <row r="403" spans="1:26" s="141" customFormat="1" x14ac:dyDescent="0.25">
      <c r="A403" s="186">
        <v>27.8000000000001</v>
      </c>
      <c r="B403" s="165" t="s">
        <v>412</v>
      </c>
      <c r="C403" s="110">
        <v>2109020</v>
      </c>
      <c r="D403" s="275" t="s">
        <v>314</v>
      </c>
      <c r="E403" s="213"/>
      <c r="F403" s="110">
        <v>796</v>
      </c>
      <c r="G403" s="81" t="s">
        <v>17</v>
      </c>
      <c r="H403" s="129">
        <v>30</v>
      </c>
      <c r="I403" s="151">
        <v>98401</v>
      </c>
      <c r="J403" s="83" t="s">
        <v>429</v>
      </c>
      <c r="K403" s="24">
        <v>300</v>
      </c>
      <c r="L403" s="246" t="str">
        <f t="shared" si="45"/>
        <v>4 квартал 2012</v>
      </c>
      <c r="M403" s="245">
        <v>41244</v>
      </c>
      <c r="N403" s="257"/>
      <c r="O403" s="24"/>
      <c r="P403" s="211"/>
      <c r="Q403" s="83"/>
      <c r="R403" s="83"/>
      <c r="S403" s="83"/>
      <c r="T403" s="83"/>
      <c r="U403" s="83"/>
      <c r="V403" s="83">
        <v>30</v>
      </c>
      <c r="W403" s="83">
        <v>300</v>
      </c>
      <c r="X403" s="167"/>
      <c r="Z403" s="237">
        <f t="shared" si="44"/>
        <v>0</v>
      </c>
    </row>
    <row r="404" spans="1:26" s="141" customFormat="1" x14ac:dyDescent="0.25">
      <c r="A404" s="186">
        <v>27.810000000000102</v>
      </c>
      <c r="B404" s="165" t="s">
        <v>412</v>
      </c>
      <c r="C404" s="110">
        <v>2109020</v>
      </c>
      <c r="D404" s="265" t="s">
        <v>315</v>
      </c>
      <c r="E404" s="114"/>
      <c r="F404" s="110">
        <v>796</v>
      </c>
      <c r="G404" s="81" t="s">
        <v>17</v>
      </c>
      <c r="H404" s="129">
        <v>27</v>
      </c>
      <c r="I404" s="151">
        <v>98401</v>
      </c>
      <c r="J404" s="83" t="s">
        <v>429</v>
      </c>
      <c r="K404" s="24">
        <v>3240</v>
      </c>
      <c r="L404" s="246" t="str">
        <f t="shared" si="45"/>
        <v>4 квартал 2012</v>
      </c>
      <c r="M404" s="245">
        <v>41244</v>
      </c>
      <c r="N404" s="257"/>
      <c r="O404" s="24"/>
      <c r="P404" s="211"/>
      <c r="Q404" s="83"/>
      <c r="R404" s="83"/>
      <c r="S404" s="83"/>
      <c r="T404" s="83"/>
      <c r="U404" s="83"/>
      <c r="V404" s="83">
        <v>27</v>
      </c>
      <c r="W404" s="83">
        <v>3240</v>
      </c>
      <c r="X404" s="167"/>
      <c r="Z404" s="237">
        <f t="shared" si="44"/>
        <v>0</v>
      </c>
    </row>
    <row r="405" spans="1:26" s="141" customFormat="1" x14ac:dyDescent="0.25">
      <c r="A405" s="186">
        <v>27.8200000000001</v>
      </c>
      <c r="B405" s="165" t="s">
        <v>412</v>
      </c>
      <c r="C405" s="110">
        <v>2109020</v>
      </c>
      <c r="D405" s="275" t="s">
        <v>316</v>
      </c>
      <c r="E405" s="213"/>
      <c r="F405" s="110">
        <v>796</v>
      </c>
      <c r="G405" s="81" t="s">
        <v>17</v>
      </c>
      <c r="H405" s="129">
        <v>110</v>
      </c>
      <c r="I405" s="151">
        <v>98401</v>
      </c>
      <c r="J405" s="83" t="s">
        <v>429</v>
      </c>
      <c r="K405" s="24">
        <v>3410</v>
      </c>
      <c r="L405" s="246" t="str">
        <f t="shared" si="45"/>
        <v>3 квартал 2012</v>
      </c>
      <c r="M405" s="248"/>
      <c r="N405" s="257"/>
      <c r="O405" s="24"/>
      <c r="P405" s="211"/>
      <c r="Q405" s="83"/>
      <c r="R405" s="83"/>
      <c r="S405" s="83"/>
      <c r="T405" s="83">
        <v>50</v>
      </c>
      <c r="U405" s="83">
        <v>1550</v>
      </c>
      <c r="V405" s="83">
        <v>60</v>
      </c>
      <c r="W405" s="83">
        <v>1860</v>
      </c>
      <c r="X405" s="167"/>
      <c r="Z405" s="237">
        <f t="shared" si="44"/>
        <v>0</v>
      </c>
    </row>
    <row r="406" spans="1:26" s="141" customFormat="1" x14ac:dyDescent="0.25">
      <c r="A406" s="186">
        <v>27.830000000000101</v>
      </c>
      <c r="B406" s="165" t="s">
        <v>412</v>
      </c>
      <c r="C406" s="110">
        <v>2109020</v>
      </c>
      <c r="D406" s="275" t="s">
        <v>317</v>
      </c>
      <c r="E406" s="213"/>
      <c r="F406" s="110">
        <v>796</v>
      </c>
      <c r="G406" s="81" t="s">
        <v>17</v>
      </c>
      <c r="H406" s="129">
        <v>197</v>
      </c>
      <c r="I406" s="151">
        <v>98401</v>
      </c>
      <c r="J406" s="83" t="s">
        <v>429</v>
      </c>
      <c r="K406" s="24">
        <v>5516</v>
      </c>
      <c r="L406" s="246" t="str">
        <f t="shared" si="45"/>
        <v>3 квартал 2012</v>
      </c>
      <c r="M406" s="248"/>
      <c r="N406" s="257"/>
      <c r="O406" s="24"/>
      <c r="P406" s="211"/>
      <c r="Q406" s="83"/>
      <c r="R406" s="83"/>
      <c r="S406" s="83"/>
      <c r="T406" s="83">
        <v>100</v>
      </c>
      <c r="U406" s="83">
        <v>2800</v>
      </c>
      <c r="V406" s="83">
        <v>97</v>
      </c>
      <c r="W406" s="83">
        <v>2716</v>
      </c>
      <c r="X406" s="167"/>
      <c r="Z406" s="237">
        <f t="shared" si="44"/>
        <v>0</v>
      </c>
    </row>
    <row r="407" spans="1:26" s="141" customFormat="1" x14ac:dyDescent="0.25">
      <c r="A407" s="186">
        <v>27.840000000000099</v>
      </c>
      <c r="B407" s="165" t="s">
        <v>412</v>
      </c>
      <c r="C407" s="110">
        <v>2109020</v>
      </c>
      <c r="D407" s="275" t="s">
        <v>318</v>
      </c>
      <c r="E407" s="213"/>
      <c r="F407" s="110">
        <v>796</v>
      </c>
      <c r="G407" s="81" t="s">
        <v>17</v>
      </c>
      <c r="H407" s="129">
        <v>406</v>
      </c>
      <c r="I407" s="151">
        <v>98401</v>
      </c>
      <c r="J407" s="83" t="s">
        <v>429</v>
      </c>
      <c r="K407" s="24">
        <v>9459.7999999999993</v>
      </c>
      <c r="L407" s="246" t="str">
        <f t="shared" si="45"/>
        <v>3 квартал 2012</v>
      </c>
      <c r="M407" s="248"/>
      <c r="N407" s="257"/>
      <c r="O407" s="24"/>
      <c r="P407" s="211"/>
      <c r="Q407" s="83"/>
      <c r="R407" s="83"/>
      <c r="S407" s="83"/>
      <c r="T407" s="83">
        <v>200</v>
      </c>
      <c r="U407" s="83">
        <v>4600</v>
      </c>
      <c r="V407" s="83">
        <v>206</v>
      </c>
      <c r="W407" s="83">
        <v>4859.8</v>
      </c>
      <c r="X407" s="167"/>
      <c r="Z407" s="237">
        <f t="shared" si="44"/>
        <v>0</v>
      </c>
    </row>
    <row r="408" spans="1:26" s="141" customFormat="1" x14ac:dyDescent="0.25">
      <c r="A408" s="186">
        <v>27.850000000000101</v>
      </c>
      <c r="B408" s="165" t="s">
        <v>412</v>
      </c>
      <c r="C408" s="110">
        <v>2109020</v>
      </c>
      <c r="D408" s="275" t="s">
        <v>319</v>
      </c>
      <c r="E408" s="213"/>
      <c r="F408" s="110">
        <v>796</v>
      </c>
      <c r="G408" s="81" t="s">
        <v>17</v>
      </c>
      <c r="H408" s="129">
        <v>3</v>
      </c>
      <c r="I408" s="151">
        <v>98401</v>
      </c>
      <c r="J408" s="83" t="s">
        <v>429</v>
      </c>
      <c r="K408" s="24">
        <v>51</v>
      </c>
      <c r="L408" s="246" t="str">
        <f t="shared" si="45"/>
        <v>4 квартал 2012</v>
      </c>
      <c r="M408" s="245">
        <v>41244</v>
      </c>
      <c r="N408" s="257"/>
      <c r="O408" s="24"/>
      <c r="P408" s="211"/>
      <c r="Q408" s="83"/>
      <c r="R408" s="83"/>
      <c r="S408" s="83"/>
      <c r="T408" s="83"/>
      <c r="U408" s="83"/>
      <c r="V408" s="83">
        <v>3</v>
      </c>
      <c r="W408" s="83">
        <v>51</v>
      </c>
      <c r="X408" s="167"/>
      <c r="Z408" s="237">
        <f t="shared" ref="Z408:Z421" si="46">K408-Q408-S408-U408-W408</f>
        <v>0</v>
      </c>
    </row>
    <row r="409" spans="1:26" s="141" customFormat="1" x14ac:dyDescent="0.25">
      <c r="A409" s="186">
        <v>27.860000000000099</v>
      </c>
      <c r="B409" s="165" t="s">
        <v>412</v>
      </c>
      <c r="C409" s="110">
        <v>2109020</v>
      </c>
      <c r="D409" s="274" t="s">
        <v>320</v>
      </c>
      <c r="E409" s="11"/>
      <c r="F409" s="110">
        <v>796</v>
      </c>
      <c r="G409" s="81" t="s">
        <v>17</v>
      </c>
      <c r="H409" s="129">
        <v>26</v>
      </c>
      <c r="I409" s="151">
        <v>98401</v>
      </c>
      <c r="J409" s="83" t="s">
        <v>429</v>
      </c>
      <c r="K409" s="24">
        <v>780</v>
      </c>
      <c r="L409" s="246" t="str">
        <f t="shared" si="45"/>
        <v>2 квартал 2012</v>
      </c>
      <c r="M409" s="248"/>
      <c r="N409" s="257"/>
      <c r="O409" s="24"/>
      <c r="P409" s="211"/>
      <c r="Q409" s="83"/>
      <c r="R409" s="83">
        <v>20</v>
      </c>
      <c r="S409" s="83">
        <v>600</v>
      </c>
      <c r="T409" s="83"/>
      <c r="U409" s="83"/>
      <c r="V409" s="83">
        <v>6</v>
      </c>
      <c r="W409" s="83">
        <v>180</v>
      </c>
      <c r="X409" s="167"/>
      <c r="Z409" s="237">
        <f t="shared" si="46"/>
        <v>0</v>
      </c>
    </row>
    <row r="410" spans="1:26" s="141" customFormat="1" x14ac:dyDescent="0.25">
      <c r="A410" s="186">
        <v>27.87</v>
      </c>
      <c r="B410" s="165" t="s">
        <v>412</v>
      </c>
      <c r="C410" s="110">
        <v>2109020</v>
      </c>
      <c r="D410" s="275" t="s">
        <v>321</v>
      </c>
      <c r="E410" s="213"/>
      <c r="F410" s="110">
        <v>796</v>
      </c>
      <c r="G410" s="81" t="s">
        <v>17</v>
      </c>
      <c r="H410" s="129">
        <v>7</v>
      </c>
      <c r="I410" s="151">
        <v>98401</v>
      </c>
      <c r="J410" s="83" t="s">
        <v>429</v>
      </c>
      <c r="K410" s="24">
        <v>140</v>
      </c>
      <c r="L410" s="246" t="str">
        <f t="shared" si="45"/>
        <v>4 квартал 2012</v>
      </c>
      <c r="M410" s="245">
        <v>41244</v>
      </c>
      <c r="N410" s="257"/>
      <c r="O410" s="24"/>
      <c r="P410" s="211"/>
      <c r="Q410" s="83"/>
      <c r="R410" s="83"/>
      <c r="S410" s="83"/>
      <c r="T410" s="83"/>
      <c r="U410" s="83"/>
      <c r="V410" s="83">
        <v>7</v>
      </c>
      <c r="W410" s="83">
        <v>140</v>
      </c>
      <c r="X410" s="167"/>
      <c r="Z410" s="237">
        <f t="shared" si="46"/>
        <v>0</v>
      </c>
    </row>
    <row r="411" spans="1:26" s="141" customFormat="1" x14ac:dyDescent="0.25">
      <c r="A411" s="186">
        <v>27.88</v>
      </c>
      <c r="B411" s="165" t="s">
        <v>412</v>
      </c>
      <c r="C411" s="110">
        <v>2109020</v>
      </c>
      <c r="D411" s="275" t="s">
        <v>322</v>
      </c>
      <c r="E411" s="213"/>
      <c r="F411" s="110">
        <v>796</v>
      </c>
      <c r="G411" s="81" t="s">
        <v>17</v>
      </c>
      <c r="H411" s="129">
        <v>13</v>
      </c>
      <c r="I411" s="151">
        <v>98401</v>
      </c>
      <c r="J411" s="83" t="s">
        <v>429</v>
      </c>
      <c r="K411" s="24">
        <v>1073.8</v>
      </c>
      <c r="L411" s="246" t="str">
        <f t="shared" si="45"/>
        <v>4 квартал 2012</v>
      </c>
      <c r="M411" s="245">
        <v>41244</v>
      </c>
      <c r="N411" s="257"/>
      <c r="O411" s="24"/>
      <c r="P411" s="211"/>
      <c r="Q411" s="83"/>
      <c r="R411" s="83"/>
      <c r="S411" s="83"/>
      <c r="T411" s="83"/>
      <c r="U411" s="83"/>
      <c r="V411" s="83">
        <v>13</v>
      </c>
      <c r="W411" s="83">
        <v>1073.8</v>
      </c>
      <c r="X411" s="167"/>
      <c r="Z411" s="237">
        <f t="shared" si="46"/>
        <v>0</v>
      </c>
    </row>
    <row r="412" spans="1:26" s="141" customFormat="1" x14ac:dyDescent="0.25">
      <c r="A412" s="186">
        <v>27.89</v>
      </c>
      <c r="B412" s="165" t="s">
        <v>412</v>
      </c>
      <c r="C412" s="110">
        <v>2109020</v>
      </c>
      <c r="D412" s="275" t="s">
        <v>339</v>
      </c>
      <c r="E412" s="213"/>
      <c r="F412" s="110">
        <v>797</v>
      </c>
      <c r="G412" s="81" t="s">
        <v>17</v>
      </c>
      <c r="H412" s="129">
        <v>200</v>
      </c>
      <c r="I412" s="151">
        <v>98401</v>
      </c>
      <c r="J412" s="83" t="s">
        <v>429</v>
      </c>
      <c r="K412" s="24">
        <f>U412</f>
        <v>46513</v>
      </c>
      <c r="L412" s="246" t="str">
        <f t="shared" si="45"/>
        <v>3 квартал 2012</v>
      </c>
      <c r="M412" s="248"/>
      <c r="N412" s="257"/>
      <c r="O412" s="24"/>
      <c r="P412" s="211"/>
      <c r="Q412" s="83"/>
      <c r="R412" s="83"/>
      <c r="S412" s="83"/>
      <c r="T412" s="83">
        <v>200</v>
      </c>
      <c r="U412" s="83">
        <v>46513</v>
      </c>
      <c r="V412" s="83"/>
      <c r="W412" s="83"/>
      <c r="X412" s="167"/>
      <c r="Z412" s="237">
        <f t="shared" si="46"/>
        <v>0</v>
      </c>
    </row>
    <row r="413" spans="1:26" s="230" customFormat="1" ht="14.25" x14ac:dyDescent="0.2">
      <c r="A413" s="232"/>
      <c r="B413" s="156"/>
      <c r="C413" s="157"/>
      <c r="D413" s="264" t="s">
        <v>491</v>
      </c>
      <c r="E413" s="159"/>
      <c r="F413" s="159"/>
      <c r="G413" s="160"/>
      <c r="H413" s="160"/>
      <c r="I413" s="161"/>
      <c r="J413" s="162"/>
      <c r="K413" s="162">
        <f>SUM(K414:K419)</f>
        <v>1056285</v>
      </c>
      <c r="L413" s="244"/>
      <c r="M413" s="244"/>
      <c r="N413" s="254"/>
      <c r="O413" s="162"/>
      <c r="P413" s="162">
        <f t="shared" ref="P413:W413" si="47">SUM(P414:P419)</f>
        <v>0</v>
      </c>
      <c r="Q413" s="162">
        <f t="shared" si="47"/>
        <v>0</v>
      </c>
      <c r="R413" s="162">
        <f t="shared" si="47"/>
        <v>7937.5079365079364</v>
      </c>
      <c r="S413" s="162">
        <f t="shared" si="47"/>
        <v>70000</v>
      </c>
      <c r="T413" s="162">
        <f t="shared" si="47"/>
        <v>6115.7460317460318</v>
      </c>
      <c r="U413" s="162">
        <f t="shared" si="47"/>
        <v>677085</v>
      </c>
      <c r="V413" s="162">
        <f t="shared" si="47"/>
        <v>6082.7460317460318</v>
      </c>
      <c r="W413" s="162">
        <f t="shared" si="47"/>
        <v>309200</v>
      </c>
      <c r="X413" s="163"/>
      <c r="Y413" s="231"/>
      <c r="Z413" s="237">
        <f t="shared" si="46"/>
        <v>0</v>
      </c>
    </row>
    <row r="414" spans="1:26" s="141" customFormat="1" ht="30" x14ac:dyDescent="0.25">
      <c r="A414" s="186">
        <v>28.1</v>
      </c>
      <c r="B414" s="165"/>
      <c r="C414" s="110"/>
      <c r="D414" s="265" t="s">
        <v>324</v>
      </c>
      <c r="E414" s="114"/>
      <c r="F414" s="110">
        <v>904</v>
      </c>
      <c r="G414" s="81" t="s">
        <v>497</v>
      </c>
      <c r="H414" s="129">
        <v>40</v>
      </c>
      <c r="I414" s="151">
        <v>98401</v>
      </c>
      <c r="J414" s="83" t="s">
        <v>429</v>
      </c>
      <c r="K414" s="27">
        <v>100000</v>
      </c>
      <c r="L414" s="246" t="str">
        <f t="shared" ref="L414:L419" si="48">IF(Q414&gt;0,"1 квартал 2012",IF(S414&gt;0,"2 квартал 2012",IF(U414&gt;0,"3 квартал 2012","4 квартал 2012")))</f>
        <v>3 квартал 2012</v>
      </c>
      <c r="M414" s="247"/>
      <c r="N414" s="256"/>
      <c r="O414" s="27"/>
      <c r="P414" s="83"/>
      <c r="Q414" s="65"/>
      <c r="R414" s="83"/>
      <c r="S414" s="65"/>
      <c r="T414" s="83">
        <v>40</v>
      </c>
      <c r="U414" s="27">
        <v>100000</v>
      </c>
      <c r="V414" s="24"/>
      <c r="W414" s="45"/>
      <c r="X414" s="65"/>
      <c r="Z414" s="237">
        <f t="shared" si="46"/>
        <v>0</v>
      </c>
    </row>
    <row r="415" spans="1:26" s="141" customFormat="1" ht="24.75" x14ac:dyDescent="0.25">
      <c r="A415" s="186">
        <v>28.2</v>
      </c>
      <c r="B415" s="165" t="s">
        <v>411</v>
      </c>
      <c r="C415" s="110">
        <v>1810000</v>
      </c>
      <c r="D415" s="265" t="s">
        <v>325</v>
      </c>
      <c r="E415" s="114"/>
      <c r="F415" s="110">
        <v>796</v>
      </c>
      <c r="G415" s="81" t="s">
        <v>17</v>
      </c>
      <c r="H415" s="129">
        <v>1</v>
      </c>
      <c r="I415" s="151">
        <v>98401</v>
      </c>
      <c r="J415" s="83" t="s">
        <v>429</v>
      </c>
      <c r="K415" s="27">
        <v>50000</v>
      </c>
      <c r="L415" s="246" t="str">
        <f t="shared" si="48"/>
        <v>2 квартал 2012</v>
      </c>
      <c r="M415" s="247"/>
      <c r="N415" s="256"/>
      <c r="O415" s="27"/>
      <c r="P415" s="83"/>
      <c r="Q415" s="65"/>
      <c r="R415" s="83">
        <v>1</v>
      </c>
      <c r="S415" s="27">
        <v>25000</v>
      </c>
      <c r="T415" s="83"/>
      <c r="U415" s="27"/>
      <c r="V415" s="24">
        <v>1</v>
      </c>
      <c r="W415" s="24">
        <v>25000</v>
      </c>
      <c r="X415" s="65"/>
      <c r="Z415" s="237">
        <f t="shared" si="46"/>
        <v>0</v>
      </c>
    </row>
    <row r="416" spans="1:26" s="141" customFormat="1" x14ac:dyDescent="0.25">
      <c r="A416" s="186">
        <v>28.3</v>
      </c>
      <c r="B416" s="165"/>
      <c r="C416" s="110"/>
      <c r="D416" s="265" t="s">
        <v>326</v>
      </c>
      <c r="E416" s="114"/>
      <c r="F416" s="110">
        <v>796</v>
      </c>
      <c r="G416" s="81" t="s">
        <v>17</v>
      </c>
      <c r="H416" s="129">
        <v>50</v>
      </c>
      <c r="I416" s="151">
        <v>98401</v>
      </c>
      <c r="J416" s="83" t="s">
        <v>429</v>
      </c>
      <c r="K416" s="27">
        <v>250000</v>
      </c>
      <c r="L416" s="246" t="str">
        <f t="shared" si="48"/>
        <v>4 квартал 2012</v>
      </c>
      <c r="M416" s="245">
        <v>41244</v>
      </c>
      <c r="N416" s="256"/>
      <c r="O416" s="27"/>
      <c r="P416" s="83"/>
      <c r="Q416" s="65"/>
      <c r="R416" s="83"/>
      <c r="S416" s="27"/>
      <c r="T416" s="83"/>
      <c r="U416" s="27"/>
      <c r="V416" s="24">
        <v>50</v>
      </c>
      <c r="W416" s="24">
        <v>250000</v>
      </c>
      <c r="X416" s="65"/>
      <c r="Z416" s="237">
        <f t="shared" si="46"/>
        <v>0</v>
      </c>
    </row>
    <row r="417" spans="1:26" s="141" customFormat="1" ht="24.75" x14ac:dyDescent="0.25">
      <c r="A417" s="186">
        <v>28.4</v>
      </c>
      <c r="B417" s="165" t="s">
        <v>419</v>
      </c>
      <c r="C417" s="110">
        <v>6611020</v>
      </c>
      <c r="D417" s="265" t="s">
        <v>337</v>
      </c>
      <c r="E417" s="114"/>
      <c r="F417" s="114">
        <v>792</v>
      </c>
      <c r="G417" s="81" t="s">
        <v>103</v>
      </c>
      <c r="H417" s="129">
        <v>18</v>
      </c>
      <c r="I417" s="151">
        <v>98401</v>
      </c>
      <c r="J417" s="83" t="s">
        <v>429</v>
      </c>
      <c r="K417" s="27">
        <v>500000</v>
      </c>
      <c r="L417" s="246" t="str">
        <f t="shared" si="48"/>
        <v>3 квартал 2012</v>
      </c>
      <c r="M417" s="247"/>
      <c r="N417" s="256"/>
      <c r="O417" s="27"/>
      <c r="P417" s="83"/>
      <c r="Q417" s="65"/>
      <c r="R417" s="83"/>
      <c r="S417" s="27"/>
      <c r="T417" s="83">
        <v>18</v>
      </c>
      <c r="U417" s="27">
        <v>500000</v>
      </c>
      <c r="V417" s="24"/>
      <c r="W417" s="24"/>
      <c r="X417" s="65"/>
      <c r="Z417" s="237">
        <f t="shared" si="46"/>
        <v>0</v>
      </c>
    </row>
    <row r="418" spans="1:26" s="141" customFormat="1" x14ac:dyDescent="0.25">
      <c r="A418" s="186">
        <v>28.5</v>
      </c>
      <c r="B418" s="165" t="s">
        <v>420</v>
      </c>
      <c r="C418" s="110"/>
      <c r="D418" s="265" t="s">
        <v>343</v>
      </c>
      <c r="E418" s="114"/>
      <c r="F418" s="110">
        <v>796</v>
      </c>
      <c r="G418" s="81" t="s">
        <v>17</v>
      </c>
      <c r="H418" s="129">
        <v>26</v>
      </c>
      <c r="I418" s="151">
        <v>98401</v>
      </c>
      <c r="J418" s="83" t="s">
        <v>429</v>
      </c>
      <c r="K418" s="27">
        <v>42885</v>
      </c>
      <c r="L418" s="246" t="str">
        <f t="shared" si="48"/>
        <v>3 квартал 2012</v>
      </c>
      <c r="M418" s="247"/>
      <c r="N418" s="256"/>
      <c r="O418" s="27"/>
      <c r="P418" s="83"/>
      <c r="Q418" s="65"/>
      <c r="R418" s="83"/>
      <c r="S418" s="27"/>
      <c r="T418" s="83">
        <v>26</v>
      </c>
      <c r="U418" s="27">
        <v>42885</v>
      </c>
      <c r="V418" s="24"/>
      <c r="W418" s="24"/>
      <c r="X418" s="65"/>
      <c r="Z418" s="237">
        <f t="shared" si="46"/>
        <v>0</v>
      </c>
    </row>
    <row r="419" spans="1:26" s="141" customFormat="1" x14ac:dyDescent="0.25">
      <c r="A419" s="186">
        <v>28.6</v>
      </c>
      <c r="B419" s="165"/>
      <c r="C419" s="110"/>
      <c r="D419" s="265" t="s">
        <v>354</v>
      </c>
      <c r="E419" s="114"/>
      <c r="F419" s="11">
        <v>112</v>
      </c>
      <c r="G419" s="81" t="s">
        <v>498</v>
      </c>
      <c r="H419" s="129">
        <v>20000</v>
      </c>
      <c r="I419" s="151">
        <v>98401</v>
      </c>
      <c r="J419" s="83" t="s">
        <v>429</v>
      </c>
      <c r="K419" s="27">
        <v>113400</v>
      </c>
      <c r="L419" s="246" t="str">
        <f t="shared" si="48"/>
        <v>2 квартал 2012</v>
      </c>
      <c r="M419" s="247"/>
      <c r="N419" s="256"/>
      <c r="O419" s="27"/>
      <c r="P419" s="83"/>
      <c r="Q419" s="65"/>
      <c r="R419" s="83">
        <f>S419/(K419/H419)</f>
        <v>7936.5079365079364</v>
      </c>
      <c r="S419" s="27">
        <v>45000</v>
      </c>
      <c r="T419" s="83">
        <f>U419/(K419/H419)</f>
        <v>6031.7460317460318</v>
      </c>
      <c r="U419" s="27">
        <v>34200</v>
      </c>
      <c r="V419" s="83">
        <f>W419/(K419/H419)</f>
        <v>6031.7460317460318</v>
      </c>
      <c r="W419" s="24">
        <v>34200</v>
      </c>
      <c r="X419" s="65"/>
      <c r="Z419" s="237">
        <f t="shared" si="46"/>
        <v>0</v>
      </c>
    </row>
    <row r="420" spans="1:26" s="230" customFormat="1" ht="36" x14ac:dyDescent="0.2">
      <c r="A420" s="232">
        <v>29</v>
      </c>
      <c r="B420" s="156"/>
      <c r="C420" s="157"/>
      <c r="D420" s="264" t="s">
        <v>327</v>
      </c>
      <c r="E420" s="159"/>
      <c r="F420" s="159">
        <v>796</v>
      </c>
      <c r="G420" s="160" t="s">
        <v>17</v>
      </c>
      <c r="H420" s="160">
        <v>51</v>
      </c>
      <c r="I420" s="161">
        <v>98401</v>
      </c>
      <c r="J420" s="162" t="s">
        <v>429</v>
      </c>
      <c r="K420" s="162">
        <v>295000</v>
      </c>
      <c r="L420" s="162"/>
      <c r="M420" s="162"/>
      <c r="N420" s="254"/>
      <c r="O420" s="162"/>
      <c r="P420" s="162"/>
      <c r="Q420" s="162"/>
      <c r="R420" s="162">
        <v>149</v>
      </c>
      <c r="S420" s="162">
        <v>295000</v>
      </c>
      <c r="T420" s="162"/>
      <c r="U420" s="162"/>
      <c r="V420" s="162"/>
      <c r="W420" s="162"/>
      <c r="X420" s="163"/>
      <c r="Y420" s="231"/>
      <c r="Z420" s="237">
        <f t="shared" si="46"/>
        <v>0</v>
      </c>
    </row>
    <row r="421" spans="1:26" s="230" customFormat="1" ht="14.25" x14ac:dyDescent="0.2">
      <c r="A421" s="232"/>
      <c r="B421" s="156"/>
      <c r="C421" s="157"/>
      <c r="D421" s="264" t="s">
        <v>328</v>
      </c>
      <c r="E421" s="159"/>
      <c r="F421" s="159"/>
      <c r="G421" s="160"/>
      <c r="H421" s="160"/>
      <c r="I421" s="161"/>
      <c r="J421" s="162"/>
      <c r="K421" s="162">
        <f>K23+K26+K34+K48+K54+K56+K69+K83+K92+K114+K120+K135+K151+K172+K181+K199+K210+K219+K224+K228+K232+K243+K297+K323+K413+K420</f>
        <v>73419344.996434376</v>
      </c>
      <c r="L421" s="162"/>
      <c r="M421" s="162"/>
      <c r="N421" s="254"/>
      <c r="O421" s="162"/>
      <c r="P421" s="162"/>
      <c r="Q421" s="244">
        <f>Q23+Q26+Q34+Q48+Q54+Q56+Q69+Q83+Q92+Q114+Q120+Q135+Q151+Q172+Q181+Q199+Q210+Q219+Q224+Q228+Q232+Q243+Q297+Q323+Q413+Q420</f>
        <v>20446557.92205622</v>
      </c>
      <c r="R421" s="162"/>
      <c r="S421" s="162">
        <f>S23+S26+S34+S48+S54+S56+S69+S83+S92+S114+S120+S135+S151+S172+S181+S199+S210+S219+S224+S228+S232+S243+S297+S323+S413+S420</f>
        <v>5804451.5</v>
      </c>
      <c r="T421" s="162"/>
      <c r="U421" s="244">
        <f>U23+U26+U34+U48+U54+U56+U69+U83+U92+U114+U120+U135+U151+U172+U181+U199+U210+U219+U224+U228+U232+U243+U297+U323+U413+U420</f>
        <v>11682211.5</v>
      </c>
      <c r="V421" s="162"/>
      <c r="W421" s="244">
        <f>W23+W26+W34+W48+W54+W56+W69+W83+W92+W114+W120+W135+W151+W172+W181+W199+W210+W219+W224+W228+W232+W243+W297+W323+W413+W420</f>
        <v>36033938.950000003</v>
      </c>
      <c r="X421" s="163"/>
      <c r="Y421" s="231"/>
      <c r="Z421" s="237">
        <f t="shared" si="46"/>
        <v>-547814.87562184781</v>
      </c>
    </row>
    <row r="422" spans="1:26" x14ac:dyDescent="0.25">
      <c r="A422" s="2"/>
      <c r="B422" s="127"/>
      <c r="D422" s="276"/>
      <c r="E422" s="44"/>
      <c r="F422" s="44"/>
      <c r="G422" s="2"/>
      <c r="K422" s="78"/>
      <c r="L422" s="78"/>
      <c r="M422" s="78"/>
      <c r="N422" s="262"/>
      <c r="O422" s="78"/>
    </row>
    <row r="423" spans="1:26" x14ac:dyDescent="0.25">
      <c r="A423" s="2"/>
      <c r="B423" s="127"/>
      <c r="D423" s="276" t="s">
        <v>511</v>
      </c>
      <c r="E423" s="44"/>
      <c r="F423" s="44"/>
      <c r="G423" s="2"/>
      <c r="K423" s="78"/>
      <c r="L423" s="78"/>
      <c r="M423" s="78"/>
      <c r="N423" s="262"/>
      <c r="O423" s="78"/>
    </row>
    <row r="424" spans="1:26" x14ac:dyDescent="0.25">
      <c r="B424" s="127"/>
      <c r="D424" s="276"/>
      <c r="E424" s="44"/>
      <c r="F424" s="44"/>
      <c r="G424" s="2"/>
      <c r="K424" s="78"/>
      <c r="L424" s="78"/>
      <c r="M424" s="78"/>
      <c r="N424" s="263"/>
      <c r="O424" s="78"/>
    </row>
    <row r="425" spans="1:26" x14ac:dyDescent="0.25">
      <c r="B425" s="127"/>
      <c r="D425" s="276"/>
      <c r="E425" s="44"/>
      <c r="F425" s="44"/>
      <c r="G425" s="2"/>
      <c r="N425" s="263"/>
    </row>
    <row r="426" spans="1:26" x14ac:dyDescent="0.25">
      <c r="B426" s="127"/>
      <c r="D426" s="276"/>
      <c r="E426" s="44"/>
      <c r="F426" s="44"/>
      <c r="G426" s="2"/>
      <c r="N426" s="263"/>
    </row>
    <row r="427" spans="1:26" x14ac:dyDescent="0.25">
      <c r="B427" s="127"/>
      <c r="D427" s="276"/>
      <c r="E427" s="44"/>
      <c r="F427" s="44"/>
      <c r="G427" s="2"/>
      <c r="N427" s="263"/>
    </row>
    <row r="428" spans="1:26" x14ac:dyDescent="0.25">
      <c r="B428" s="127"/>
      <c r="D428" s="276"/>
      <c r="E428" s="44"/>
      <c r="F428" s="44"/>
      <c r="G428" s="2"/>
      <c r="N428" s="263"/>
    </row>
    <row r="429" spans="1:26" x14ac:dyDescent="0.25">
      <c r="B429" s="127"/>
      <c r="D429" s="276"/>
      <c r="E429" s="44"/>
      <c r="F429" s="44"/>
      <c r="G429" s="2"/>
      <c r="N429" s="263"/>
    </row>
    <row r="430" spans="1:26" x14ac:dyDescent="0.25">
      <c r="A430" s="2"/>
      <c r="B430" s="127"/>
      <c r="D430" s="276"/>
      <c r="E430" s="44"/>
      <c r="F430" s="44"/>
      <c r="G430" s="2"/>
      <c r="N430" s="263"/>
    </row>
    <row r="431" spans="1:26" x14ac:dyDescent="0.25">
      <c r="A431" s="2"/>
      <c r="B431" s="127"/>
      <c r="D431" s="276"/>
      <c r="E431" s="44"/>
      <c r="F431" s="44"/>
      <c r="G431" s="2"/>
      <c r="N431" s="263"/>
    </row>
    <row r="432" spans="1:26" x14ac:dyDescent="0.25">
      <c r="A432" s="2"/>
      <c r="B432" s="127"/>
      <c r="D432" s="276"/>
      <c r="E432" s="44"/>
      <c r="F432" s="44"/>
      <c r="G432" s="2"/>
      <c r="N432" s="263"/>
    </row>
    <row r="433" spans="1:14" x14ac:dyDescent="0.25">
      <c r="A433" s="2"/>
      <c r="B433" s="127"/>
      <c r="D433" s="276"/>
      <c r="E433" s="44"/>
      <c r="F433" s="44"/>
      <c r="G433" s="2"/>
      <c r="N433" s="263"/>
    </row>
    <row r="434" spans="1:14" x14ac:dyDescent="0.25">
      <c r="A434" s="2"/>
      <c r="B434" s="127"/>
      <c r="D434" s="276"/>
      <c r="E434" s="44"/>
      <c r="F434" s="44"/>
      <c r="G434" s="2"/>
      <c r="N434" s="263"/>
    </row>
    <row r="435" spans="1:14" x14ac:dyDescent="0.25">
      <c r="A435" s="2"/>
      <c r="B435" s="127"/>
      <c r="D435" s="276"/>
      <c r="E435" s="44"/>
      <c r="F435" s="44"/>
      <c r="G435" s="2"/>
      <c r="N435" s="263"/>
    </row>
    <row r="436" spans="1:14" x14ac:dyDescent="0.25">
      <c r="A436" s="2"/>
      <c r="B436" s="127"/>
      <c r="D436" s="276"/>
      <c r="E436" s="44"/>
      <c r="F436" s="44"/>
      <c r="G436" s="2"/>
      <c r="N436" s="263"/>
    </row>
    <row r="437" spans="1:14" x14ac:dyDescent="0.25">
      <c r="A437" s="2"/>
      <c r="B437" s="127"/>
      <c r="D437" s="276"/>
      <c r="E437" s="44"/>
      <c r="F437" s="44"/>
      <c r="G437" s="2"/>
      <c r="N437" s="263"/>
    </row>
    <row r="438" spans="1:14" x14ac:dyDescent="0.25">
      <c r="A438" s="2"/>
      <c r="B438" s="127"/>
      <c r="D438" s="276"/>
      <c r="E438" s="44"/>
      <c r="F438" s="44"/>
      <c r="G438" s="2"/>
      <c r="N438" s="263"/>
    </row>
    <row r="439" spans="1:14" x14ac:dyDescent="0.25">
      <c r="A439" s="2"/>
      <c r="B439" s="127"/>
      <c r="D439" s="276"/>
      <c r="E439" s="44"/>
      <c r="F439" s="44"/>
      <c r="G439" s="2"/>
      <c r="N439" s="263"/>
    </row>
    <row r="440" spans="1:14" x14ac:dyDescent="0.25">
      <c r="A440" s="2"/>
      <c r="B440" s="127"/>
      <c r="D440" s="276"/>
      <c r="E440" s="44"/>
      <c r="F440" s="44"/>
      <c r="G440" s="2"/>
      <c r="N440" s="263"/>
    </row>
    <row r="441" spans="1:14" x14ac:dyDescent="0.25">
      <c r="A441" s="2"/>
      <c r="B441" s="127"/>
      <c r="D441" s="276"/>
      <c r="E441" s="44"/>
      <c r="F441" s="44"/>
      <c r="G441" s="2"/>
      <c r="N441" s="263"/>
    </row>
    <row r="442" spans="1:14" x14ac:dyDescent="0.25">
      <c r="A442" s="2"/>
      <c r="B442" s="127"/>
      <c r="D442" s="276"/>
      <c r="E442" s="44"/>
      <c r="F442" s="44"/>
      <c r="G442" s="2"/>
      <c r="N442" s="263"/>
    </row>
    <row r="443" spans="1:14" x14ac:dyDescent="0.25">
      <c r="A443" s="2"/>
      <c r="B443" s="127"/>
      <c r="D443" s="276"/>
      <c r="E443" s="44"/>
      <c r="F443" s="44"/>
      <c r="G443" s="2"/>
      <c r="N443" s="263"/>
    </row>
    <row r="444" spans="1:14" x14ac:dyDescent="0.25">
      <c r="A444" s="2"/>
      <c r="B444" s="127"/>
      <c r="D444" s="276"/>
      <c r="E444" s="44"/>
      <c r="F444" s="44"/>
      <c r="G444" s="2"/>
      <c r="N444" s="263"/>
    </row>
    <row r="445" spans="1:14" x14ac:dyDescent="0.25">
      <c r="A445" s="2"/>
      <c r="B445" s="127"/>
      <c r="D445" s="276"/>
      <c r="E445" s="44"/>
      <c r="F445" s="44"/>
      <c r="G445" s="2"/>
      <c r="N445" s="263"/>
    </row>
    <row r="446" spans="1:14" x14ac:dyDescent="0.25">
      <c r="A446" s="2"/>
      <c r="B446" s="127"/>
      <c r="D446" s="276"/>
      <c r="E446" s="44"/>
      <c r="F446" s="44"/>
      <c r="G446" s="2"/>
      <c r="N446" s="263"/>
    </row>
    <row r="447" spans="1:14" x14ac:dyDescent="0.25">
      <c r="A447" s="2"/>
      <c r="B447" s="127"/>
      <c r="D447" s="276"/>
      <c r="E447" s="44"/>
      <c r="F447" s="44"/>
      <c r="G447" s="2"/>
      <c r="N447" s="263"/>
    </row>
    <row r="448" spans="1:14" x14ac:dyDescent="0.25">
      <c r="A448" s="2"/>
      <c r="B448" s="127"/>
      <c r="D448" s="276"/>
      <c r="E448" s="44"/>
      <c r="F448" s="44"/>
      <c r="G448" s="2"/>
      <c r="N448" s="263"/>
    </row>
    <row r="449" spans="1:14" x14ac:dyDescent="0.25">
      <c r="A449" s="2"/>
      <c r="B449" s="127"/>
      <c r="D449" s="276"/>
      <c r="E449" s="44"/>
      <c r="F449" s="44"/>
      <c r="G449" s="2"/>
      <c r="N449" s="263"/>
    </row>
    <row r="450" spans="1:14" x14ac:dyDescent="0.25">
      <c r="A450" s="2"/>
      <c r="B450" s="127"/>
      <c r="D450" s="276"/>
      <c r="E450" s="44"/>
      <c r="F450" s="44"/>
      <c r="G450" s="2"/>
      <c r="N450" s="263"/>
    </row>
    <row r="451" spans="1:14" x14ac:dyDescent="0.25">
      <c r="A451" s="2"/>
      <c r="B451" s="127"/>
      <c r="D451" s="276"/>
      <c r="E451" s="44"/>
      <c r="F451" s="44"/>
      <c r="G451" s="2"/>
      <c r="N451" s="263"/>
    </row>
    <row r="452" spans="1:14" x14ac:dyDescent="0.25">
      <c r="A452" s="2"/>
      <c r="B452" s="127"/>
      <c r="D452" s="276"/>
      <c r="E452" s="44"/>
      <c r="F452" s="44"/>
      <c r="G452" s="2"/>
      <c r="N452" s="263"/>
    </row>
    <row r="453" spans="1:14" x14ac:dyDescent="0.25">
      <c r="A453" s="2"/>
      <c r="B453" s="127"/>
      <c r="D453" s="276"/>
      <c r="E453" s="44"/>
      <c r="F453" s="44"/>
      <c r="G453" s="2"/>
      <c r="N453" s="263"/>
    </row>
    <row r="454" spans="1:14" x14ac:dyDescent="0.25">
      <c r="A454" s="2"/>
      <c r="B454" s="127"/>
      <c r="D454" s="276"/>
      <c r="E454" s="44"/>
      <c r="F454" s="44"/>
      <c r="G454" s="2"/>
      <c r="N454" s="263"/>
    </row>
    <row r="455" spans="1:14" x14ac:dyDescent="0.25">
      <c r="A455" s="2"/>
      <c r="B455" s="127"/>
      <c r="D455" s="276"/>
      <c r="E455" s="44"/>
      <c r="F455" s="44"/>
      <c r="G455" s="2"/>
      <c r="N455" s="263"/>
    </row>
    <row r="456" spans="1:14" x14ac:dyDescent="0.25">
      <c r="A456" s="2"/>
      <c r="B456" s="127"/>
      <c r="D456" s="276"/>
      <c r="E456" s="44"/>
      <c r="F456" s="44"/>
      <c r="G456" s="2"/>
      <c r="N456" s="263"/>
    </row>
    <row r="457" spans="1:14" x14ac:dyDescent="0.25">
      <c r="A457" s="2"/>
      <c r="B457" s="127"/>
      <c r="D457" s="276"/>
      <c r="E457" s="44"/>
      <c r="F457" s="44"/>
      <c r="G457" s="2"/>
      <c r="N457" s="263"/>
    </row>
    <row r="458" spans="1:14" x14ac:dyDescent="0.25">
      <c r="A458" s="2"/>
      <c r="B458" s="127"/>
      <c r="D458" s="276"/>
      <c r="E458" s="44"/>
      <c r="F458" s="44"/>
      <c r="G458" s="2"/>
      <c r="N458" s="263"/>
    </row>
    <row r="459" spans="1:14" x14ac:dyDescent="0.25">
      <c r="A459" s="2"/>
      <c r="B459" s="127"/>
      <c r="D459" s="276"/>
      <c r="E459" s="44"/>
      <c r="F459" s="44"/>
      <c r="G459" s="2"/>
      <c r="N459" s="263"/>
    </row>
    <row r="460" spans="1:14" x14ac:dyDescent="0.25">
      <c r="A460" s="2"/>
      <c r="B460" s="127"/>
      <c r="D460" s="276"/>
      <c r="E460" s="44"/>
      <c r="F460" s="44"/>
      <c r="G460" s="2"/>
      <c r="N460" s="263"/>
    </row>
    <row r="461" spans="1:14" x14ac:dyDescent="0.25">
      <c r="A461" s="2"/>
      <c r="B461" s="127"/>
      <c r="D461" s="276"/>
      <c r="E461" s="44"/>
      <c r="F461" s="44"/>
      <c r="G461" s="2"/>
      <c r="N461" s="263"/>
    </row>
    <row r="462" spans="1:14" x14ac:dyDescent="0.25">
      <c r="A462" s="2"/>
      <c r="B462" s="127"/>
      <c r="D462" s="276"/>
      <c r="E462" s="44"/>
      <c r="F462" s="44"/>
      <c r="G462" s="2"/>
      <c r="N462" s="263"/>
    </row>
    <row r="463" spans="1:14" x14ac:dyDescent="0.25">
      <c r="A463" s="2"/>
      <c r="B463" s="127"/>
      <c r="D463" s="276"/>
      <c r="E463" s="44"/>
      <c r="F463" s="44"/>
      <c r="G463" s="2"/>
      <c r="N463" s="263"/>
    </row>
    <row r="464" spans="1:14" x14ac:dyDescent="0.25">
      <c r="A464" s="2"/>
      <c r="B464" s="127"/>
      <c r="D464" s="276"/>
      <c r="E464" s="44"/>
      <c r="F464" s="44"/>
      <c r="G464" s="2"/>
      <c r="N464" s="263"/>
    </row>
    <row r="465" spans="1:14" x14ac:dyDescent="0.25">
      <c r="A465" s="2"/>
      <c r="B465" s="127"/>
      <c r="D465" s="276"/>
      <c r="E465" s="44"/>
      <c r="F465" s="44"/>
      <c r="G465" s="2"/>
      <c r="N465" s="263"/>
    </row>
    <row r="466" spans="1:14" x14ac:dyDescent="0.25">
      <c r="A466" s="2"/>
      <c r="B466" s="127"/>
      <c r="D466" s="276"/>
      <c r="E466" s="44"/>
      <c r="F466" s="44"/>
      <c r="G466" s="2"/>
      <c r="N466" s="263"/>
    </row>
    <row r="467" spans="1:14" x14ac:dyDescent="0.25">
      <c r="A467" s="2"/>
      <c r="B467" s="127"/>
      <c r="D467" s="276"/>
      <c r="E467" s="44"/>
      <c r="F467" s="44"/>
      <c r="G467" s="2"/>
      <c r="N467" s="263"/>
    </row>
    <row r="468" spans="1:14" x14ac:dyDescent="0.25">
      <c r="A468" s="2"/>
      <c r="B468" s="127"/>
      <c r="D468" s="276"/>
      <c r="E468" s="44"/>
      <c r="F468" s="44"/>
      <c r="G468" s="2"/>
      <c r="N468" s="263"/>
    </row>
    <row r="469" spans="1:14" x14ac:dyDescent="0.25">
      <c r="A469" s="2"/>
      <c r="B469" s="127"/>
      <c r="D469" s="276"/>
      <c r="E469" s="44"/>
      <c r="F469" s="44"/>
      <c r="G469" s="2"/>
      <c r="N469" s="263"/>
    </row>
    <row r="470" spans="1:14" x14ac:dyDescent="0.25">
      <c r="A470" s="2"/>
      <c r="B470" s="127"/>
      <c r="D470" s="276"/>
      <c r="E470" s="44"/>
      <c r="F470" s="44"/>
      <c r="G470" s="2"/>
      <c r="N470" s="263"/>
    </row>
    <row r="471" spans="1:14" x14ac:dyDescent="0.25">
      <c r="A471" s="2"/>
      <c r="B471" s="127"/>
      <c r="D471" s="276"/>
      <c r="E471" s="44"/>
      <c r="F471" s="44"/>
      <c r="G471" s="2"/>
      <c r="N471" s="263"/>
    </row>
    <row r="472" spans="1:14" x14ac:dyDescent="0.25">
      <c r="A472" s="2"/>
      <c r="B472" s="127"/>
      <c r="D472" s="276"/>
      <c r="E472" s="44"/>
      <c r="F472" s="44"/>
      <c r="G472" s="2"/>
      <c r="N472" s="263"/>
    </row>
    <row r="473" spans="1:14" x14ac:dyDescent="0.25">
      <c r="A473" s="2"/>
      <c r="B473" s="127"/>
      <c r="D473" s="276"/>
      <c r="E473" s="44"/>
      <c r="F473" s="44"/>
      <c r="G473" s="2"/>
      <c r="N473" s="263"/>
    </row>
    <row r="474" spans="1:14" x14ac:dyDescent="0.25">
      <c r="A474" s="2"/>
      <c r="B474" s="127"/>
      <c r="D474" s="276"/>
      <c r="E474" s="44"/>
      <c r="F474" s="44"/>
      <c r="G474" s="2"/>
      <c r="N474" s="263"/>
    </row>
    <row r="475" spans="1:14" x14ac:dyDescent="0.25">
      <c r="A475" s="2"/>
      <c r="B475" s="127"/>
      <c r="D475" s="276"/>
      <c r="E475" s="44"/>
      <c r="F475" s="44"/>
      <c r="G475" s="2"/>
      <c r="N475" s="263"/>
    </row>
    <row r="476" spans="1:14" x14ac:dyDescent="0.25">
      <c r="A476" s="2"/>
      <c r="B476" s="127"/>
      <c r="D476" s="276"/>
      <c r="E476" s="44"/>
      <c r="F476" s="44"/>
      <c r="G476" s="2"/>
      <c r="N476" s="263"/>
    </row>
    <row r="477" spans="1:14" x14ac:dyDescent="0.25">
      <c r="A477" s="2"/>
      <c r="B477" s="127"/>
      <c r="D477" s="276"/>
      <c r="E477" s="44"/>
      <c r="F477" s="44"/>
      <c r="G477" s="2"/>
      <c r="N477" s="263"/>
    </row>
    <row r="478" spans="1:14" x14ac:dyDescent="0.25">
      <c r="A478" s="2"/>
      <c r="B478" s="127"/>
      <c r="D478" s="276"/>
      <c r="E478" s="44"/>
      <c r="F478" s="44"/>
      <c r="G478" s="2"/>
      <c r="N478" s="263"/>
    </row>
    <row r="479" spans="1:14" x14ac:dyDescent="0.25">
      <c r="A479" s="2"/>
      <c r="B479" s="127"/>
      <c r="D479" s="276"/>
      <c r="E479" s="44"/>
      <c r="F479" s="44"/>
      <c r="G479" s="2"/>
      <c r="N479" s="263"/>
    </row>
    <row r="480" spans="1:14" x14ac:dyDescent="0.25">
      <c r="A480" s="2"/>
      <c r="B480" s="127"/>
      <c r="D480" s="276"/>
      <c r="E480" s="44"/>
      <c r="F480" s="44"/>
      <c r="G480" s="2"/>
      <c r="N480" s="263"/>
    </row>
    <row r="481" spans="1:14" x14ac:dyDescent="0.25">
      <c r="A481" s="2"/>
      <c r="B481" s="127"/>
      <c r="D481" s="276"/>
      <c r="E481" s="44"/>
      <c r="F481" s="44"/>
      <c r="G481" s="2"/>
      <c r="N481" s="263"/>
    </row>
    <row r="482" spans="1:14" x14ac:dyDescent="0.25">
      <c r="A482" s="2"/>
      <c r="B482" s="127"/>
      <c r="D482" s="276"/>
      <c r="E482" s="44"/>
      <c r="F482" s="44"/>
      <c r="G482" s="2"/>
      <c r="N482" s="263"/>
    </row>
    <row r="483" spans="1:14" x14ac:dyDescent="0.25">
      <c r="A483" s="2"/>
      <c r="B483" s="127"/>
      <c r="D483" s="276"/>
      <c r="E483" s="44"/>
      <c r="F483" s="44"/>
      <c r="G483" s="2"/>
      <c r="N483" s="263"/>
    </row>
    <row r="484" spans="1:14" x14ac:dyDescent="0.25">
      <c r="A484" s="2"/>
      <c r="B484" s="127"/>
      <c r="D484" s="276"/>
      <c r="E484" s="44"/>
      <c r="F484" s="44"/>
      <c r="G484" s="2"/>
      <c r="N484" s="263"/>
    </row>
    <row r="485" spans="1:14" x14ac:dyDescent="0.25">
      <c r="A485" s="2"/>
      <c r="B485" s="127"/>
      <c r="D485" s="276"/>
      <c r="E485" s="44"/>
      <c r="F485" s="44"/>
      <c r="G485" s="2"/>
      <c r="N485" s="263"/>
    </row>
    <row r="486" spans="1:14" x14ac:dyDescent="0.25">
      <c r="A486" s="2"/>
      <c r="B486" s="127"/>
      <c r="D486" s="276"/>
      <c r="E486" s="44"/>
      <c r="F486" s="44"/>
      <c r="G486" s="2"/>
      <c r="N486" s="263"/>
    </row>
    <row r="487" spans="1:14" x14ac:dyDescent="0.25">
      <c r="A487" s="2"/>
      <c r="B487" s="127"/>
      <c r="D487" s="276"/>
      <c r="E487" s="44"/>
      <c r="F487" s="44"/>
      <c r="G487" s="2"/>
      <c r="N487" s="263"/>
    </row>
    <row r="488" spans="1:14" x14ac:dyDescent="0.25">
      <c r="A488" s="2"/>
      <c r="B488" s="127"/>
      <c r="D488" s="276"/>
      <c r="E488" s="44"/>
      <c r="F488" s="44"/>
      <c r="G488" s="2"/>
      <c r="N488" s="263"/>
    </row>
    <row r="489" spans="1:14" x14ac:dyDescent="0.25">
      <c r="A489" s="2"/>
      <c r="B489" s="127"/>
      <c r="D489" s="276"/>
      <c r="E489" s="44"/>
      <c r="F489" s="44"/>
      <c r="G489" s="2"/>
      <c r="N489" s="263"/>
    </row>
    <row r="490" spans="1:14" x14ac:dyDescent="0.25">
      <c r="A490" s="2"/>
      <c r="B490" s="127"/>
      <c r="D490" s="276"/>
      <c r="E490" s="44"/>
      <c r="F490" s="44"/>
      <c r="G490" s="2"/>
      <c r="N490" s="263"/>
    </row>
    <row r="491" spans="1:14" x14ac:dyDescent="0.25">
      <c r="A491" s="2"/>
      <c r="B491" s="127"/>
      <c r="D491" s="276"/>
      <c r="E491" s="44"/>
      <c r="F491" s="44"/>
      <c r="G491" s="2"/>
      <c r="N491" s="263"/>
    </row>
    <row r="492" spans="1:14" x14ac:dyDescent="0.25">
      <c r="A492" s="2"/>
      <c r="B492" s="127"/>
      <c r="D492" s="276"/>
      <c r="E492" s="44"/>
      <c r="F492" s="44"/>
      <c r="G492" s="2"/>
      <c r="N492" s="263"/>
    </row>
    <row r="493" spans="1:14" x14ac:dyDescent="0.25">
      <c r="A493" s="2"/>
      <c r="B493" s="127"/>
      <c r="D493" s="276"/>
      <c r="E493" s="44"/>
      <c r="F493" s="44"/>
      <c r="G493" s="2"/>
      <c r="N493" s="263"/>
    </row>
    <row r="494" spans="1:14" x14ac:dyDescent="0.25">
      <c r="A494" s="2"/>
      <c r="B494" s="127"/>
      <c r="D494" s="276"/>
      <c r="E494" s="44"/>
      <c r="F494" s="44"/>
      <c r="G494" s="2"/>
      <c r="N494" s="263"/>
    </row>
    <row r="495" spans="1:14" x14ac:dyDescent="0.25">
      <c r="A495" s="2"/>
      <c r="B495" s="127"/>
      <c r="D495" s="276"/>
      <c r="E495" s="44"/>
      <c r="F495" s="44"/>
      <c r="G495" s="2"/>
      <c r="N495" s="263"/>
    </row>
    <row r="496" spans="1:14" x14ac:dyDescent="0.25">
      <c r="A496" s="2"/>
      <c r="B496" s="127"/>
      <c r="D496" s="276"/>
      <c r="E496" s="44"/>
      <c r="F496" s="44"/>
      <c r="G496" s="2"/>
      <c r="N496" s="263"/>
    </row>
    <row r="497" spans="1:14" x14ac:dyDescent="0.25">
      <c r="A497" s="2"/>
      <c r="B497" s="127"/>
      <c r="D497" s="276"/>
      <c r="E497" s="44"/>
      <c r="F497" s="44"/>
      <c r="G497" s="2"/>
      <c r="N497" s="263"/>
    </row>
    <row r="498" spans="1:14" x14ac:dyDescent="0.25">
      <c r="A498" s="2"/>
      <c r="B498" s="127"/>
      <c r="D498" s="276"/>
      <c r="E498" s="44"/>
      <c r="F498" s="44"/>
      <c r="G498" s="2"/>
      <c r="N498" s="263"/>
    </row>
    <row r="499" spans="1:14" x14ac:dyDescent="0.25">
      <c r="A499" s="2"/>
      <c r="B499" s="127"/>
      <c r="D499" s="276"/>
      <c r="E499" s="44"/>
      <c r="F499" s="44"/>
      <c r="G499" s="2"/>
      <c r="N499" s="263"/>
    </row>
    <row r="500" spans="1:14" x14ac:dyDescent="0.25">
      <c r="A500" s="2"/>
      <c r="B500" s="127"/>
      <c r="D500" s="276"/>
      <c r="E500" s="44"/>
      <c r="F500" s="44"/>
      <c r="G500" s="2"/>
      <c r="N500" s="263"/>
    </row>
    <row r="501" spans="1:14" x14ac:dyDescent="0.25">
      <c r="A501" s="2"/>
      <c r="B501" s="127"/>
      <c r="D501" s="276"/>
      <c r="E501" s="44"/>
      <c r="F501" s="44"/>
      <c r="G501" s="2"/>
      <c r="N501" s="263"/>
    </row>
    <row r="502" spans="1:14" x14ac:dyDescent="0.25">
      <c r="A502" s="2"/>
      <c r="B502" s="127"/>
      <c r="D502" s="276"/>
      <c r="E502" s="44"/>
      <c r="F502" s="44"/>
      <c r="G502" s="2"/>
      <c r="N502" s="263"/>
    </row>
    <row r="503" spans="1:14" x14ac:dyDescent="0.25">
      <c r="A503" s="2"/>
      <c r="B503" s="127"/>
      <c r="D503" s="276"/>
      <c r="E503" s="44"/>
      <c r="F503" s="44"/>
      <c r="G503" s="2"/>
      <c r="N503" s="263"/>
    </row>
    <row r="504" spans="1:14" x14ac:dyDescent="0.25">
      <c r="A504" s="2"/>
      <c r="B504" s="127"/>
      <c r="D504" s="276"/>
      <c r="E504" s="44"/>
      <c r="F504" s="44"/>
      <c r="G504" s="2"/>
      <c r="N504" s="263"/>
    </row>
    <row r="505" spans="1:14" x14ac:dyDescent="0.25">
      <c r="A505" s="2"/>
      <c r="B505" s="127"/>
      <c r="D505" s="276"/>
      <c r="E505" s="44"/>
      <c r="F505" s="44"/>
      <c r="G505" s="2"/>
      <c r="N505" s="263"/>
    </row>
    <row r="506" spans="1:14" x14ac:dyDescent="0.25">
      <c r="A506" s="2"/>
      <c r="B506" s="127"/>
      <c r="D506" s="276"/>
      <c r="E506" s="44"/>
      <c r="F506" s="44"/>
      <c r="G506" s="2"/>
      <c r="N506" s="263"/>
    </row>
    <row r="507" spans="1:14" x14ac:dyDescent="0.25">
      <c r="A507" s="2"/>
      <c r="B507" s="127"/>
      <c r="D507" s="276"/>
      <c r="E507" s="44"/>
      <c r="F507" s="44"/>
      <c r="G507" s="2"/>
      <c r="N507" s="263"/>
    </row>
    <row r="508" spans="1:14" x14ac:dyDescent="0.25">
      <c r="A508" s="2"/>
      <c r="B508" s="127"/>
      <c r="D508" s="276"/>
      <c r="E508" s="44"/>
      <c r="F508" s="44"/>
      <c r="G508" s="2"/>
      <c r="N508" s="263"/>
    </row>
    <row r="509" spans="1:14" x14ac:dyDescent="0.25">
      <c r="A509" s="2"/>
      <c r="B509" s="127"/>
      <c r="D509" s="276"/>
      <c r="E509" s="44"/>
      <c r="F509" s="44"/>
      <c r="G509" s="2"/>
      <c r="N509" s="263"/>
    </row>
    <row r="510" spans="1:14" x14ac:dyDescent="0.25">
      <c r="A510" s="2"/>
      <c r="B510" s="127"/>
      <c r="D510" s="276"/>
      <c r="E510" s="44"/>
      <c r="F510" s="44"/>
      <c r="G510" s="2"/>
      <c r="N510" s="263"/>
    </row>
    <row r="511" spans="1:14" x14ac:dyDescent="0.25">
      <c r="A511" s="2"/>
      <c r="B511" s="127"/>
      <c r="D511" s="276"/>
      <c r="E511" s="44"/>
      <c r="F511" s="44"/>
      <c r="G511" s="2"/>
      <c r="N511" s="263"/>
    </row>
    <row r="512" spans="1:14" x14ac:dyDescent="0.25">
      <c r="A512" s="2"/>
      <c r="B512" s="127"/>
      <c r="D512" s="276"/>
      <c r="E512" s="44"/>
      <c r="F512" s="44"/>
      <c r="G512" s="2"/>
      <c r="N512" s="263"/>
    </row>
    <row r="513" spans="1:14" x14ac:dyDescent="0.25">
      <c r="A513" s="2"/>
      <c r="B513" s="127"/>
      <c r="D513" s="276"/>
      <c r="E513" s="44"/>
      <c r="F513" s="44"/>
      <c r="G513" s="2"/>
      <c r="N513" s="263"/>
    </row>
    <row r="514" spans="1:14" x14ac:dyDescent="0.25">
      <c r="A514" s="2"/>
      <c r="B514" s="127"/>
      <c r="D514" s="276"/>
      <c r="E514" s="44"/>
      <c r="F514" s="44"/>
      <c r="G514" s="2"/>
      <c r="N514" s="263"/>
    </row>
    <row r="515" spans="1:14" x14ac:dyDescent="0.25">
      <c r="A515" s="2"/>
      <c r="B515" s="127"/>
      <c r="D515" s="276"/>
      <c r="E515" s="44"/>
      <c r="F515" s="44"/>
      <c r="G515" s="2"/>
      <c r="N515" s="263"/>
    </row>
    <row r="516" spans="1:14" x14ac:dyDescent="0.25">
      <c r="A516" s="2"/>
      <c r="B516" s="127"/>
      <c r="D516" s="276"/>
      <c r="E516" s="44"/>
      <c r="F516" s="44"/>
      <c r="G516" s="2"/>
      <c r="N516" s="263"/>
    </row>
    <row r="517" spans="1:14" x14ac:dyDescent="0.25">
      <c r="A517" s="2"/>
      <c r="B517" s="127"/>
      <c r="D517" s="276"/>
      <c r="E517" s="44"/>
      <c r="F517" s="44"/>
      <c r="G517" s="2"/>
      <c r="N517" s="263"/>
    </row>
    <row r="518" spans="1:14" x14ac:dyDescent="0.25">
      <c r="A518" s="2"/>
      <c r="B518" s="127"/>
      <c r="D518" s="3"/>
      <c r="E518" s="44"/>
      <c r="F518" s="44"/>
      <c r="G518" s="2"/>
      <c r="N518" s="263"/>
    </row>
    <row r="519" spans="1:14" x14ac:dyDescent="0.25">
      <c r="A519" s="2"/>
      <c r="B519" s="127"/>
      <c r="D519" s="3"/>
      <c r="E519" s="44"/>
      <c r="F519" s="44"/>
      <c r="G519" s="2"/>
      <c r="N519" s="263"/>
    </row>
    <row r="520" spans="1:14" x14ac:dyDescent="0.25">
      <c r="A520" s="2"/>
      <c r="B520" s="127"/>
      <c r="D520" s="3"/>
      <c r="E520" s="44"/>
      <c r="F520" s="44"/>
      <c r="G520" s="2"/>
      <c r="N520" s="263"/>
    </row>
    <row r="521" spans="1:14" x14ac:dyDescent="0.25">
      <c r="A521" s="2"/>
      <c r="B521" s="127"/>
      <c r="D521" s="3"/>
      <c r="E521" s="44"/>
      <c r="F521" s="44"/>
      <c r="G521" s="2"/>
      <c r="N521" s="263"/>
    </row>
    <row r="522" spans="1:14" x14ac:dyDescent="0.25">
      <c r="A522" s="2"/>
      <c r="B522" s="127"/>
      <c r="D522" s="3"/>
      <c r="E522" s="44"/>
      <c r="F522" s="44"/>
      <c r="G522" s="2"/>
      <c r="N522" s="263"/>
    </row>
    <row r="523" spans="1:14" x14ac:dyDescent="0.25">
      <c r="A523" s="2"/>
      <c r="B523" s="127"/>
      <c r="D523" s="3"/>
      <c r="E523" s="44"/>
      <c r="F523" s="44"/>
      <c r="G523" s="2"/>
      <c r="N523" s="263"/>
    </row>
    <row r="524" spans="1:14" x14ac:dyDescent="0.25">
      <c r="A524" s="2"/>
      <c r="B524" s="127"/>
      <c r="D524" s="3"/>
      <c r="E524" s="44"/>
      <c r="F524" s="44"/>
      <c r="G524" s="2"/>
      <c r="N524" s="263"/>
    </row>
    <row r="525" spans="1:14" x14ac:dyDescent="0.25">
      <c r="A525" s="2"/>
      <c r="B525" s="127"/>
      <c r="D525" s="3"/>
      <c r="E525" s="44"/>
      <c r="F525" s="44"/>
      <c r="G525" s="2"/>
      <c r="N525" s="263"/>
    </row>
    <row r="526" spans="1:14" x14ac:dyDescent="0.25">
      <c r="A526" s="2"/>
      <c r="B526" s="127"/>
      <c r="D526" s="3"/>
      <c r="E526" s="44"/>
      <c r="F526" s="44"/>
      <c r="G526" s="2"/>
      <c r="N526" s="263"/>
    </row>
    <row r="527" spans="1:14" x14ac:dyDescent="0.25">
      <c r="A527" s="2"/>
      <c r="B527" s="127"/>
      <c r="D527" s="3"/>
      <c r="E527" s="44"/>
      <c r="F527" s="44"/>
      <c r="G527" s="2"/>
      <c r="N527" s="263"/>
    </row>
    <row r="528" spans="1:14" x14ac:dyDescent="0.25">
      <c r="A528" s="2"/>
      <c r="B528" s="127"/>
      <c r="D528" s="3"/>
      <c r="E528" s="44"/>
      <c r="F528" s="44"/>
      <c r="G528" s="2"/>
      <c r="N528" s="263"/>
    </row>
    <row r="529" spans="1:14" x14ac:dyDescent="0.25">
      <c r="A529" s="2"/>
      <c r="B529" s="127"/>
      <c r="D529" s="3"/>
      <c r="E529" s="44"/>
      <c r="F529" s="44"/>
      <c r="G529" s="2"/>
      <c r="N529" s="263"/>
    </row>
    <row r="530" spans="1:14" x14ac:dyDescent="0.25">
      <c r="A530" s="2"/>
      <c r="B530" s="127"/>
      <c r="D530" s="3"/>
      <c r="E530" s="44"/>
      <c r="F530" s="44"/>
      <c r="G530" s="2"/>
      <c r="N530" s="263"/>
    </row>
    <row r="531" spans="1:14" x14ac:dyDescent="0.25">
      <c r="A531" s="2"/>
      <c r="B531" s="127"/>
      <c r="D531" s="3"/>
      <c r="E531" s="44"/>
      <c r="F531" s="44"/>
      <c r="G531" s="2"/>
      <c r="N531" s="263"/>
    </row>
    <row r="532" spans="1:14" x14ac:dyDescent="0.25">
      <c r="A532" s="2"/>
      <c r="B532" s="127"/>
      <c r="D532" s="3"/>
      <c r="E532" s="44"/>
      <c r="F532" s="44"/>
      <c r="G532" s="2"/>
      <c r="N532" s="263"/>
    </row>
    <row r="533" spans="1:14" x14ac:dyDescent="0.25">
      <c r="A533" s="2"/>
      <c r="B533" s="127"/>
      <c r="D533" s="3"/>
      <c r="E533" s="44"/>
      <c r="F533" s="44"/>
      <c r="G533" s="2"/>
      <c r="N533" s="263"/>
    </row>
    <row r="534" spans="1:14" x14ac:dyDescent="0.25">
      <c r="A534" s="2"/>
      <c r="B534" s="127"/>
      <c r="D534" s="3"/>
      <c r="E534" s="44"/>
      <c r="F534" s="44"/>
      <c r="G534" s="2"/>
    </row>
    <row r="535" spans="1:14" x14ac:dyDescent="0.25">
      <c r="A535" s="2"/>
      <c r="B535" s="127"/>
      <c r="D535" s="3"/>
      <c r="E535" s="44"/>
      <c r="F535" s="44"/>
      <c r="G535" s="2"/>
    </row>
    <row r="536" spans="1:14" x14ac:dyDescent="0.25">
      <c r="A536" s="2"/>
      <c r="B536" s="127"/>
      <c r="D536" s="3"/>
      <c r="E536" s="44"/>
      <c r="F536" s="44"/>
      <c r="G536" s="2"/>
    </row>
    <row r="537" spans="1:14" x14ac:dyDescent="0.25">
      <c r="A537" s="2"/>
      <c r="B537" s="127"/>
      <c r="D537" s="3"/>
      <c r="E537" s="44"/>
      <c r="F537" s="44"/>
      <c r="G537" s="2"/>
    </row>
    <row r="538" spans="1:14" x14ac:dyDescent="0.25">
      <c r="A538" s="2"/>
      <c r="B538" s="127"/>
      <c r="D538" s="3"/>
      <c r="E538" s="44"/>
      <c r="F538" s="44"/>
      <c r="G538" s="2"/>
    </row>
    <row r="539" spans="1:14" x14ac:dyDescent="0.25">
      <c r="A539" s="2"/>
      <c r="B539" s="127"/>
      <c r="D539" s="3"/>
      <c r="E539" s="44"/>
      <c r="F539" s="44"/>
      <c r="G539" s="2"/>
    </row>
    <row r="540" spans="1:14" x14ac:dyDescent="0.25">
      <c r="A540" s="2"/>
      <c r="B540" s="127"/>
      <c r="D540" s="3"/>
      <c r="E540" s="44"/>
      <c r="F540" s="44"/>
      <c r="G540" s="2"/>
    </row>
    <row r="541" spans="1:14" x14ac:dyDescent="0.25">
      <c r="A541" s="2"/>
      <c r="B541" s="127"/>
      <c r="D541" s="3"/>
      <c r="E541" s="44"/>
      <c r="F541" s="44"/>
      <c r="G541" s="2"/>
    </row>
    <row r="542" spans="1:14" x14ac:dyDescent="0.25">
      <c r="A542" s="2"/>
      <c r="B542" s="127"/>
      <c r="D542" s="3"/>
      <c r="E542" s="44"/>
      <c r="F542" s="44"/>
      <c r="G542" s="2"/>
    </row>
    <row r="543" spans="1:14" x14ac:dyDescent="0.25">
      <c r="A543" s="2"/>
      <c r="B543" s="127"/>
      <c r="D543" s="3"/>
      <c r="E543" s="44"/>
      <c r="F543" s="44"/>
      <c r="G543" s="2"/>
    </row>
    <row r="544" spans="1:14" x14ac:dyDescent="0.25">
      <c r="A544" s="2"/>
      <c r="B544" s="127"/>
      <c r="D544" s="3"/>
      <c r="E544" s="44"/>
      <c r="F544" s="44"/>
      <c r="G544" s="2"/>
    </row>
    <row r="545" spans="1:7" x14ac:dyDescent="0.25">
      <c r="A545" s="2"/>
      <c r="B545" s="127"/>
      <c r="D545" s="3"/>
      <c r="E545" s="44"/>
      <c r="F545" s="44"/>
      <c r="G545" s="2"/>
    </row>
    <row r="546" spans="1:7" x14ac:dyDescent="0.25">
      <c r="A546" s="2"/>
      <c r="B546" s="127"/>
      <c r="D546" s="3"/>
      <c r="E546" s="44"/>
      <c r="F546" s="44"/>
      <c r="G546" s="2"/>
    </row>
    <row r="547" spans="1:7" x14ac:dyDescent="0.25">
      <c r="A547" s="2"/>
      <c r="B547" s="127"/>
      <c r="D547" s="3"/>
      <c r="E547" s="44"/>
      <c r="F547" s="44"/>
      <c r="G547" s="2"/>
    </row>
    <row r="548" spans="1:7" x14ac:dyDescent="0.25">
      <c r="A548" s="2"/>
      <c r="B548" s="127"/>
      <c r="D548" s="3"/>
      <c r="E548" s="44"/>
      <c r="F548" s="44"/>
      <c r="G548" s="2"/>
    </row>
    <row r="549" spans="1:7" x14ac:dyDescent="0.25">
      <c r="A549" s="2"/>
      <c r="B549" s="127"/>
      <c r="D549" s="3"/>
      <c r="E549" s="44"/>
      <c r="F549" s="44"/>
      <c r="G549" s="2"/>
    </row>
    <row r="550" spans="1:7" x14ac:dyDescent="0.25">
      <c r="A550" s="2"/>
      <c r="B550" s="127"/>
      <c r="D550" s="3"/>
      <c r="E550" s="44"/>
      <c r="F550" s="44"/>
      <c r="G550" s="2"/>
    </row>
    <row r="551" spans="1:7" x14ac:dyDescent="0.25">
      <c r="A551" s="1"/>
      <c r="B551" s="127"/>
      <c r="D551" s="3"/>
      <c r="E551" s="44"/>
      <c r="F551" s="44"/>
      <c r="G551" s="2"/>
    </row>
    <row r="552" spans="1:7" x14ac:dyDescent="0.25">
      <c r="A552" s="1"/>
      <c r="B552" s="127"/>
      <c r="D552" s="3"/>
      <c r="E552" s="44"/>
      <c r="F552" s="44"/>
      <c r="G552" s="2"/>
    </row>
    <row r="553" spans="1:7" x14ac:dyDescent="0.25">
      <c r="A553" s="1"/>
      <c r="B553" s="127"/>
      <c r="D553" s="3"/>
      <c r="E553" s="44"/>
      <c r="F553" s="44"/>
      <c r="G553" s="2"/>
    </row>
    <row r="554" spans="1:7" x14ac:dyDescent="0.25">
      <c r="A554" s="1"/>
      <c r="B554" s="127"/>
      <c r="D554" s="3"/>
      <c r="E554" s="44"/>
      <c r="F554" s="44"/>
      <c r="G554" s="2"/>
    </row>
    <row r="555" spans="1:7" x14ac:dyDescent="0.25">
      <c r="A555" s="1"/>
      <c r="B555" s="127"/>
      <c r="D555" s="3"/>
      <c r="E555" s="44"/>
      <c r="F555" s="44"/>
      <c r="G555" s="2"/>
    </row>
    <row r="556" spans="1:7" x14ac:dyDescent="0.25">
      <c r="A556" s="1"/>
      <c r="B556" s="127"/>
      <c r="D556" s="3"/>
      <c r="E556" s="44"/>
      <c r="F556" s="44"/>
      <c r="G556" s="2"/>
    </row>
    <row r="557" spans="1:7" x14ac:dyDescent="0.25">
      <c r="A557" s="1"/>
      <c r="B557" s="127"/>
      <c r="D557" s="3"/>
      <c r="E557" s="44"/>
      <c r="F557" s="44"/>
      <c r="G557" s="2"/>
    </row>
    <row r="558" spans="1:7" x14ac:dyDescent="0.25">
      <c r="A558" s="1"/>
      <c r="B558" s="127"/>
      <c r="D558" s="3"/>
      <c r="E558" s="44"/>
      <c r="F558" s="44"/>
      <c r="G558" s="2"/>
    </row>
    <row r="559" spans="1:7" x14ac:dyDescent="0.25">
      <c r="A559" s="1"/>
      <c r="B559" s="127"/>
      <c r="D559" s="3"/>
      <c r="E559" s="44"/>
      <c r="F559" s="44"/>
      <c r="G559" s="2"/>
    </row>
    <row r="560" spans="1:7" x14ac:dyDescent="0.25">
      <c r="A560" s="1"/>
      <c r="B560" s="127"/>
      <c r="D560" s="3"/>
      <c r="E560" s="44"/>
      <c r="F560" s="44"/>
      <c r="G560" s="2"/>
    </row>
    <row r="561" spans="1:7" x14ac:dyDescent="0.25">
      <c r="A561" s="1"/>
      <c r="B561" s="127"/>
      <c r="D561" s="3"/>
      <c r="E561" s="44"/>
      <c r="F561" s="44"/>
      <c r="G561" s="2"/>
    </row>
    <row r="562" spans="1:7" x14ac:dyDescent="0.25">
      <c r="A562" s="1"/>
      <c r="B562" s="127"/>
      <c r="D562" s="3"/>
      <c r="E562" s="44"/>
      <c r="F562" s="44"/>
      <c r="G562" s="2"/>
    </row>
    <row r="563" spans="1:7" x14ac:dyDescent="0.25">
      <c r="A563" s="1"/>
      <c r="B563" s="127"/>
      <c r="D563" s="3"/>
      <c r="E563" s="44"/>
      <c r="F563" s="44"/>
      <c r="G563" s="2"/>
    </row>
    <row r="564" spans="1:7" x14ac:dyDescent="0.25">
      <c r="A564" s="1"/>
      <c r="B564" s="127"/>
      <c r="D564" s="3"/>
      <c r="E564" s="44"/>
      <c r="F564" s="44"/>
      <c r="G564" s="2"/>
    </row>
    <row r="565" spans="1:7" x14ac:dyDescent="0.25">
      <c r="A565" s="1"/>
      <c r="B565" s="127"/>
      <c r="D565" s="3"/>
      <c r="E565" s="44"/>
      <c r="F565" s="44"/>
      <c r="G565" s="2"/>
    </row>
    <row r="566" spans="1:7" x14ac:dyDescent="0.25">
      <c r="A566" s="1"/>
      <c r="B566" s="127"/>
      <c r="D566" s="3"/>
      <c r="E566" s="44"/>
      <c r="F566" s="44"/>
      <c r="G566" s="2"/>
    </row>
    <row r="567" spans="1:7" x14ac:dyDescent="0.25">
      <c r="A567" s="1"/>
      <c r="B567" s="127"/>
      <c r="D567" s="3"/>
      <c r="E567" s="44"/>
      <c r="F567" s="44"/>
      <c r="G567" s="2"/>
    </row>
    <row r="568" spans="1:7" x14ac:dyDescent="0.25">
      <c r="A568" s="1"/>
      <c r="B568" s="127"/>
      <c r="D568" s="3"/>
      <c r="E568" s="44"/>
      <c r="F568" s="44"/>
      <c r="G568" s="2"/>
    </row>
    <row r="569" spans="1:7" x14ac:dyDescent="0.25">
      <c r="A569" s="1"/>
      <c r="B569" s="127"/>
      <c r="D569" s="3"/>
      <c r="E569" s="44"/>
      <c r="F569" s="44"/>
      <c r="G569" s="2"/>
    </row>
    <row r="570" spans="1:7" x14ac:dyDescent="0.25">
      <c r="A570" s="1"/>
      <c r="B570" s="127"/>
      <c r="D570" s="3"/>
      <c r="E570" s="44"/>
      <c r="F570" s="44"/>
      <c r="G570" s="2"/>
    </row>
    <row r="571" spans="1:7" x14ac:dyDescent="0.25">
      <c r="A571" s="1"/>
      <c r="B571" s="127"/>
      <c r="D571" s="3"/>
      <c r="E571" s="44"/>
      <c r="F571" s="44"/>
      <c r="G571" s="2"/>
    </row>
    <row r="572" spans="1:7" x14ac:dyDescent="0.25">
      <c r="A572" s="1"/>
      <c r="B572" s="127"/>
      <c r="D572" s="3"/>
      <c r="E572" s="44"/>
      <c r="F572" s="44"/>
      <c r="G572" s="2"/>
    </row>
    <row r="573" spans="1:7" x14ac:dyDescent="0.25">
      <c r="A573" s="1"/>
      <c r="B573" s="127"/>
      <c r="D573" s="3"/>
      <c r="E573" s="44"/>
      <c r="F573" s="44"/>
      <c r="G573" s="2"/>
    </row>
    <row r="574" spans="1:7" x14ac:dyDescent="0.25">
      <c r="A574" s="1"/>
      <c r="B574" s="127"/>
      <c r="D574" s="3"/>
      <c r="E574" s="44"/>
      <c r="F574" s="44"/>
      <c r="G574" s="2"/>
    </row>
    <row r="575" spans="1:7" x14ac:dyDescent="0.25">
      <c r="A575" s="1"/>
      <c r="B575" s="127"/>
      <c r="D575" s="3"/>
      <c r="E575" s="44"/>
      <c r="F575" s="44"/>
      <c r="G575" s="2"/>
    </row>
    <row r="576" spans="1:7" x14ac:dyDescent="0.25">
      <c r="A576" s="1"/>
      <c r="B576" s="127"/>
      <c r="D576" s="3"/>
      <c r="E576" s="44"/>
    </row>
    <row r="577" spans="1:5" x14ac:dyDescent="0.25">
      <c r="A577" s="1"/>
      <c r="B577" s="127"/>
      <c r="D577" s="3"/>
      <c r="E577" s="44"/>
    </row>
    <row r="578" spans="1:5" x14ac:dyDescent="0.25">
      <c r="A578" s="1"/>
      <c r="B578" s="127"/>
      <c r="D578" s="3"/>
      <c r="E578" s="44"/>
    </row>
    <row r="579" spans="1:5" x14ac:dyDescent="0.25">
      <c r="A579" s="1"/>
      <c r="B579" s="127"/>
      <c r="D579" s="3"/>
      <c r="E579" s="44"/>
    </row>
    <row r="580" spans="1:5" x14ac:dyDescent="0.25">
      <c r="A580" s="1"/>
      <c r="B580" s="127"/>
      <c r="D580" s="3"/>
      <c r="E580" s="44"/>
    </row>
    <row r="581" spans="1:5" x14ac:dyDescent="0.25">
      <c r="A581" s="1"/>
      <c r="B581" s="127"/>
      <c r="D581" s="3"/>
      <c r="E581" s="44"/>
    </row>
    <row r="582" spans="1:5" x14ac:dyDescent="0.25">
      <c r="A582" s="1"/>
      <c r="B582" s="127"/>
      <c r="D582" s="3"/>
      <c r="E582" s="44"/>
    </row>
    <row r="583" spans="1:5" x14ac:dyDescent="0.25">
      <c r="A583" s="1"/>
      <c r="B583" s="127"/>
      <c r="D583" s="3"/>
      <c r="E583" s="44"/>
    </row>
    <row r="584" spans="1:5" x14ac:dyDescent="0.25">
      <c r="A584" s="1"/>
      <c r="B584" s="127"/>
      <c r="D584" s="3"/>
      <c r="E584" s="44"/>
    </row>
    <row r="585" spans="1:5" x14ac:dyDescent="0.25">
      <c r="A585" s="1"/>
      <c r="B585" s="127"/>
      <c r="D585" s="3"/>
      <c r="E585" s="44"/>
    </row>
    <row r="586" spans="1:5" x14ac:dyDescent="0.25">
      <c r="A586" s="1"/>
      <c r="B586" s="127"/>
      <c r="D586" s="3"/>
      <c r="E586" s="44"/>
    </row>
    <row r="587" spans="1:5" x14ac:dyDescent="0.25">
      <c r="A587" s="1"/>
      <c r="B587" s="127"/>
      <c r="D587" s="3"/>
      <c r="E587" s="44"/>
    </row>
    <row r="588" spans="1:5" x14ac:dyDescent="0.25">
      <c r="A588" s="1"/>
      <c r="B588" s="127"/>
      <c r="D588" s="3"/>
      <c r="E588" s="44"/>
    </row>
    <row r="589" spans="1:5" x14ac:dyDescent="0.25">
      <c r="A589" s="1"/>
      <c r="B589" s="127"/>
      <c r="D589" s="3"/>
      <c r="E589" s="44"/>
    </row>
    <row r="590" spans="1:5" x14ac:dyDescent="0.25">
      <c r="A590" s="1"/>
      <c r="B590" s="127"/>
      <c r="D590" s="3"/>
      <c r="E590" s="44"/>
    </row>
    <row r="591" spans="1:5" x14ac:dyDescent="0.25">
      <c r="A591" s="1"/>
      <c r="B591" s="127"/>
      <c r="D591" s="3"/>
      <c r="E591" s="44"/>
    </row>
    <row r="592" spans="1:5" x14ac:dyDescent="0.25">
      <c r="A592" s="1"/>
      <c r="B592" s="127"/>
      <c r="D592" s="3"/>
      <c r="E592" s="44"/>
    </row>
    <row r="593" spans="1:5" x14ac:dyDescent="0.25">
      <c r="A593" s="1"/>
      <c r="B593" s="127"/>
      <c r="D593" s="3"/>
      <c r="E593" s="44"/>
    </row>
    <row r="594" spans="1:5" x14ac:dyDescent="0.25">
      <c r="A594" s="1"/>
      <c r="B594" s="127"/>
      <c r="D594" s="3"/>
      <c r="E594" s="44"/>
    </row>
    <row r="595" spans="1:5" x14ac:dyDescent="0.25">
      <c r="A595" s="1"/>
      <c r="B595" s="127"/>
      <c r="D595" s="3"/>
      <c r="E595" s="44"/>
    </row>
    <row r="596" spans="1:5" x14ac:dyDescent="0.25">
      <c r="A596" s="1"/>
      <c r="B596" s="127"/>
      <c r="D596" s="3"/>
      <c r="E596" s="44"/>
    </row>
    <row r="597" spans="1:5" x14ac:dyDescent="0.25">
      <c r="A597" s="1"/>
      <c r="B597" s="127"/>
      <c r="D597" s="3"/>
      <c r="E597" s="44"/>
    </row>
    <row r="598" spans="1:5" x14ac:dyDescent="0.25">
      <c r="A598" s="1"/>
      <c r="B598" s="127"/>
      <c r="D598" s="3"/>
      <c r="E598" s="44"/>
    </row>
    <row r="599" spans="1:5" x14ac:dyDescent="0.25">
      <c r="A599" s="1"/>
      <c r="B599" s="127"/>
      <c r="D599" s="3"/>
      <c r="E599" s="44"/>
    </row>
    <row r="600" spans="1:5" x14ac:dyDescent="0.25">
      <c r="A600" s="1"/>
      <c r="B600" s="127"/>
      <c r="D600" s="3"/>
      <c r="E600" s="44"/>
    </row>
    <row r="601" spans="1:5" x14ac:dyDescent="0.25">
      <c r="A601" s="1"/>
      <c r="B601" s="127"/>
      <c r="D601" s="3"/>
      <c r="E601" s="44"/>
    </row>
    <row r="602" spans="1:5" x14ac:dyDescent="0.25">
      <c r="A602" s="1"/>
      <c r="B602" s="127"/>
      <c r="D602" s="3"/>
      <c r="E602" s="44"/>
    </row>
    <row r="603" spans="1:5" x14ac:dyDescent="0.25">
      <c r="A603" s="1"/>
      <c r="B603" s="127"/>
      <c r="D603" s="3"/>
      <c r="E603" s="44"/>
    </row>
    <row r="604" spans="1:5" x14ac:dyDescent="0.25">
      <c r="A604" s="1"/>
      <c r="B604" s="127"/>
      <c r="D604" s="3"/>
      <c r="E604" s="44"/>
    </row>
    <row r="605" spans="1:5" x14ac:dyDescent="0.25">
      <c r="A605" s="1"/>
      <c r="B605" s="127"/>
      <c r="D605" s="3"/>
      <c r="E605" s="44"/>
    </row>
    <row r="606" spans="1:5" x14ac:dyDescent="0.25">
      <c r="A606" s="1"/>
      <c r="B606" s="127"/>
      <c r="D606" s="3"/>
      <c r="E606" s="44"/>
    </row>
    <row r="607" spans="1:5" x14ac:dyDescent="0.25">
      <c r="A607" s="1"/>
      <c r="B607" s="127"/>
      <c r="D607" s="3"/>
      <c r="E607" s="44"/>
    </row>
    <row r="608" spans="1:5" x14ac:dyDescent="0.25">
      <c r="A608" s="1"/>
      <c r="B608" s="127"/>
      <c r="D608" s="3"/>
      <c r="E608" s="44"/>
    </row>
    <row r="609" spans="1:5" x14ac:dyDescent="0.25">
      <c r="A609" s="1"/>
      <c r="B609" s="127"/>
      <c r="D609" s="3"/>
      <c r="E609" s="44"/>
    </row>
    <row r="610" spans="1:5" x14ac:dyDescent="0.25">
      <c r="A610" s="1"/>
      <c r="B610" s="127"/>
      <c r="D610" s="3"/>
      <c r="E610" s="44"/>
    </row>
    <row r="611" spans="1:5" x14ac:dyDescent="0.25">
      <c r="A611" s="1"/>
      <c r="B611" s="127"/>
      <c r="D611" s="3"/>
      <c r="E611" s="44"/>
    </row>
    <row r="612" spans="1:5" x14ac:dyDescent="0.25">
      <c r="A612" s="1"/>
      <c r="B612" s="127"/>
      <c r="D612" s="3"/>
      <c r="E612" s="44"/>
    </row>
    <row r="613" spans="1:5" x14ac:dyDescent="0.25">
      <c r="A613" s="1"/>
      <c r="B613" s="127"/>
      <c r="D613" s="3"/>
      <c r="E613" s="44"/>
    </row>
    <row r="614" spans="1:5" x14ac:dyDescent="0.25">
      <c r="A614" s="1"/>
      <c r="B614" s="127"/>
      <c r="D614" s="3"/>
      <c r="E614" s="44"/>
    </row>
    <row r="615" spans="1:5" x14ac:dyDescent="0.25">
      <c r="A615" s="1"/>
      <c r="B615" s="127"/>
      <c r="D615" s="3"/>
      <c r="E615" s="44"/>
    </row>
    <row r="616" spans="1:5" x14ac:dyDescent="0.25">
      <c r="A616" s="1"/>
      <c r="B616" s="127"/>
      <c r="D616" s="3"/>
      <c r="E616" s="44"/>
    </row>
    <row r="617" spans="1:5" x14ac:dyDescent="0.25">
      <c r="A617" s="1"/>
      <c r="B617" s="127"/>
      <c r="D617" s="3"/>
      <c r="E617" s="44"/>
    </row>
    <row r="618" spans="1:5" x14ac:dyDescent="0.25">
      <c r="A618" s="1"/>
      <c r="B618" s="127"/>
      <c r="D618" s="3"/>
      <c r="E618" s="44"/>
    </row>
    <row r="619" spans="1:5" x14ac:dyDescent="0.25">
      <c r="A619" s="1"/>
      <c r="B619" s="127"/>
      <c r="D619" s="3"/>
      <c r="E619" s="44"/>
    </row>
    <row r="620" spans="1:5" x14ac:dyDescent="0.25">
      <c r="A620" s="1"/>
      <c r="B620" s="127"/>
      <c r="D620" s="3"/>
      <c r="E620" s="44"/>
    </row>
    <row r="621" spans="1:5" x14ac:dyDescent="0.25">
      <c r="A621" s="1"/>
      <c r="B621" s="127"/>
      <c r="D621" s="3"/>
      <c r="E621" s="44"/>
    </row>
    <row r="622" spans="1:5" x14ac:dyDescent="0.25">
      <c r="A622" s="1"/>
      <c r="B622" s="127"/>
      <c r="D622" s="3"/>
      <c r="E622" s="44"/>
    </row>
    <row r="623" spans="1:5" x14ac:dyDescent="0.25">
      <c r="A623" s="1"/>
      <c r="B623" s="127"/>
      <c r="D623" s="3"/>
      <c r="E623" s="44"/>
    </row>
    <row r="624" spans="1:5" x14ac:dyDescent="0.25">
      <c r="A624" s="1"/>
      <c r="B624" s="127"/>
      <c r="D624" s="3"/>
      <c r="E624" s="44"/>
    </row>
    <row r="625" spans="1:5" x14ac:dyDescent="0.25">
      <c r="A625" s="1"/>
      <c r="B625" s="127"/>
      <c r="D625" s="3"/>
      <c r="E625" s="44"/>
    </row>
    <row r="626" spans="1:5" x14ac:dyDescent="0.25">
      <c r="A626" s="1"/>
      <c r="B626" s="127"/>
      <c r="D626" s="3"/>
      <c r="E626" s="44"/>
    </row>
    <row r="627" spans="1:5" x14ac:dyDescent="0.25">
      <c r="A627" s="1"/>
      <c r="B627" s="127"/>
      <c r="D627" s="3"/>
      <c r="E627" s="44"/>
    </row>
    <row r="628" spans="1:5" x14ac:dyDescent="0.25">
      <c r="A628" s="1"/>
      <c r="B628" s="127"/>
      <c r="D628" s="3"/>
      <c r="E628" s="44"/>
    </row>
    <row r="629" spans="1:5" x14ac:dyDescent="0.25">
      <c r="A629" s="1"/>
      <c r="B629" s="127"/>
      <c r="D629" s="3"/>
      <c r="E629" s="44"/>
    </row>
    <row r="630" spans="1:5" x14ac:dyDescent="0.25">
      <c r="A630" s="1"/>
      <c r="B630" s="127"/>
      <c r="D630" s="3"/>
      <c r="E630" s="44"/>
    </row>
    <row r="631" spans="1:5" x14ac:dyDescent="0.25">
      <c r="A631" s="1"/>
      <c r="B631" s="127"/>
      <c r="D631" s="3"/>
      <c r="E631" s="44"/>
    </row>
    <row r="632" spans="1:5" x14ac:dyDescent="0.25">
      <c r="A632" s="1"/>
      <c r="B632" s="127"/>
      <c r="D632" s="3"/>
      <c r="E632" s="44"/>
    </row>
    <row r="633" spans="1:5" x14ac:dyDescent="0.25">
      <c r="A633" s="1"/>
      <c r="B633" s="127"/>
      <c r="D633" s="3"/>
      <c r="E633" s="44"/>
    </row>
    <row r="634" spans="1:5" x14ac:dyDescent="0.25">
      <c r="A634" s="1"/>
      <c r="B634" s="127"/>
      <c r="D634" s="3"/>
      <c r="E634" s="44"/>
    </row>
    <row r="635" spans="1:5" x14ac:dyDescent="0.25">
      <c r="A635" s="1"/>
      <c r="B635" s="127"/>
      <c r="D635" s="3"/>
      <c r="E635" s="44"/>
    </row>
    <row r="636" spans="1:5" x14ac:dyDescent="0.25">
      <c r="A636" s="1"/>
      <c r="B636" s="127"/>
      <c r="D636" s="3"/>
      <c r="E636" s="44"/>
    </row>
    <row r="637" spans="1:5" x14ac:dyDescent="0.25">
      <c r="A637" s="1"/>
      <c r="B637" s="127"/>
      <c r="D637" s="3"/>
      <c r="E637" s="44"/>
    </row>
    <row r="638" spans="1:5" x14ac:dyDescent="0.25">
      <c r="A638" s="1"/>
      <c r="B638" s="127"/>
      <c r="D638" s="3"/>
      <c r="E638" s="44"/>
    </row>
    <row r="639" spans="1:5" x14ac:dyDescent="0.25">
      <c r="A639" s="1"/>
      <c r="B639" s="127"/>
      <c r="D639" s="3"/>
      <c r="E639" s="44"/>
    </row>
    <row r="640" spans="1:5" x14ac:dyDescent="0.25">
      <c r="A640" s="1"/>
      <c r="B640" s="127"/>
      <c r="D640" s="3"/>
      <c r="E640" s="44"/>
    </row>
    <row r="641" spans="1:5" x14ac:dyDescent="0.25">
      <c r="A641" s="1"/>
      <c r="B641" s="127"/>
      <c r="D641" s="3"/>
      <c r="E641" s="44"/>
    </row>
    <row r="642" spans="1:5" x14ac:dyDescent="0.25">
      <c r="A642" s="1"/>
      <c r="B642" s="127"/>
      <c r="D642" s="3"/>
      <c r="E642" s="44"/>
    </row>
    <row r="643" spans="1:5" x14ac:dyDescent="0.25">
      <c r="A643" s="1"/>
      <c r="B643" s="127"/>
      <c r="D643" s="3"/>
      <c r="E643" s="44"/>
    </row>
    <row r="644" spans="1:5" x14ac:dyDescent="0.25">
      <c r="A644" s="1"/>
      <c r="B644" s="127"/>
      <c r="D644" s="3"/>
      <c r="E644" s="44"/>
    </row>
    <row r="645" spans="1:5" x14ac:dyDescent="0.25">
      <c r="A645" s="1"/>
      <c r="B645" s="127"/>
      <c r="D645" s="3"/>
      <c r="E645" s="44"/>
    </row>
    <row r="646" spans="1:5" x14ac:dyDescent="0.25">
      <c r="A646" s="1"/>
      <c r="B646" s="127"/>
      <c r="D646" s="3"/>
      <c r="E646" s="44"/>
    </row>
    <row r="647" spans="1:5" x14ac:dyDescent="0.25">
      <c r="A647" s="1"/>
      <c r="B647" s="127"/>
      <c r="D647" s="3"/>
      <c r="E647" s="44"/>
    </row>
    <row r="648" spans="1:5" x14ac:dyDescent="0.25">
      <c r="A648" s="1"/>
      <c r="B648" s="127"/>
      <c r="D648" s="3"/>
      <c r="E648" s="44"/>
    </row>
    <row r="649" spans="1:5" x14ac:dyDescent="0.25">
      <c r="A649" s="1"/>
      <c r="B649" s="127"/>
      <c r="D649" s="3"/>
      <c r="E649" s="44"/>
    </row>
    <row r="650" spans="1:5" x14ac:dyDescent="0.25">
      <c r="A650" s="1"/>
      <c r="B650" s="127"/>
      <c r="D650" s="3"/>
      <c r="E650" s="44"/>
    </row>
    <row r="651" spans="1:5" x14ac:dyDescent="0.25">
      <c r="A651" s="1"/>
      <c r="B651" s="127"/>
      <c r="D651" s="3"/>
      <c r="E651" s="44"/>
    </row>
    <row r="652" spans="1:5" x14ac:dyDescent="0.25">
      <c r="A652" s="1"/>
      <c r="B652" s="127"/>
      <c r="D652" s="3"/>
      <c r="E652" s="44"/>
    </row>
    <row r="653" spans="1:5" x14ac:dyDescent="0.25">
      <c r="A653" s="1"/>
      <c r="B653" s="127"/>
      <c r="D653" s="3"/>
      <c r="E653" s="44"/>
    </row>
    <row r="654" spans="1:5" x14ac:dyDescent="0.25">
      <c r="A654" s="1"/>
      <c r="B654" s="127"/>
      <c r="D654" s="3"/>
      <c r="E654" s="44"/>
    </row>
    <row r="655" spans="1:5" x14ac:dyDescent="0.25">
      <c r="A655" s="1"/>
      <c r="B655" s="127"/>
      <c r="D655" s="3"/>
      <c r="E655" s="44"/>
    </row>
    <row r="656" spans="1:5" x14ac:dyDescent="0.25">
      <c r="A656" s="1"/>
      <c r="B656" s="127"/>
      <c r="D656" s="3"/>
      <c r="E656" s="44"/>
    </row>
    <row r="657" spans="1:5" x14ac:dyDescent="0.25">
      <c r="A657" s="1"/>
      <c r="B657" s="127"/>
      <c r="D657" s="3"/>
      <c r="E657" s="44"/>
    </row>
    <row r="658" spans="1:5" x14ac:dyDescent="0.25">
      <c r="A658" s="1"/>
      <c r="B658" s="127"/>
      <c r="D658" s="3"/>
      <c r="E658" s="44"/>
    </row>
    <row r="659" spans="1:5" x14ac:dyDescent="0.25">
      <c r="A659" s="1"/>
      <c r="B659" s="127"/>
      <c r="D659" s="3"/>
    </row>
    <row r="660" spans="1:5" x14ac:dyDescent="0.25">
      <c r="A660" s="1"/>
      <c r="B660" s="127"/>
      <c r="D660" s="3"/>
    </row>
    <row r="661" spans="1:5" x14ac:dyDescent="0.25">
      <c r="A661" s="1"/>
      <c r="B661" s="127"/>
      <c r="D661" s="3"/>
    </row>
    <row r="662" spans="1:5" x14ac:dyDescent="0.25">
      <c r="A662" s="1"/>
      <c r="B662" s="127"/>
      <c r="D662" s="3"/>
    </row>
    <row r="663" spans="1:5" x14ac:dyDescent="0.25">
      <c r="A663" s="1"/>
      <c r="B663" s="127"/>
      <c r="D663" s="3"/>
    </row>
    <row r="664" spans="1:5" x14ac:dyDescent="0.25">
      <c r="A664" s="1"/>
      <c r="B664" s="127"/>
      <c r="D664" s="3"/>
    </row>
    <row r="665" spans="1:5" x14ac:dyDescent="0.25">
      <c r="A665" s="1"/>
      <c r="B665" s="127"/>
      <c r="D665" s="3"/>
    </row>
    <row r="666" spans="1:5" x14ac:dyDescent="0.25">
      <c r="A666" s="1"/>
      <c r="B666" s="127"/>
      <c r="D666" s="3"/>
    </row>
    <row r="667" spans="1:5" x14ac:dyDescent="0.25">
      <c r="A667" s="1"/>
      <c r="B667" s="127"/>
      <c r="D667" s="3"/>
    </row>
    <row r="668" spans="1:5" x14ac:dyDescent="0.25">
      <c r="A668" s="1"/>
      <c r="B668" s="127"/>
      <c r="D668" s="3"/>
    </row>
    <row r="669" spans="1:5" x14ac:dyDescent="0.25">
      <c r="A669" s="1"/>
      <c r="B669" s="127"/>
      <c r="D669" s="3"/>
    </row>
    <row r="670" spans="1:5" x14ac:dyDescent="0.25">
      <c r="A670" s="1"/>
      <c r="B670" s="127"/>
      <c r="D670" s="3"/>
    </row>
  </sheetData>
  <autoFilter ref="A22:Y424"/>
  <mergeCells count="38">
    <mergeCell ref="A6:D6"/>
    <mergeCell ref="A7:D7"/>
    <mergeCell ref="K108:K113"/>
    <mergeCell ref="W108:W113"/>
    <mergeCell ref="K95:K96"/>
    <mergeCell ref="A19:A21"/>
    <mergeCell ref="B19:B21"/>
    <mergeCell ref="C19:C21"/>
    <mergeCell ref="D19:M19"/>
    <mergeCell ref="P20:P21"/>
    <mergeCell ref="P19:Q19"/>
    <mergeCell ref="Q20:Q21"/>
    <mergeCell ref="O19:O20"/>
    <mergeCell ref="D20:D21"/>
    <mergeCell ref="E20:E21"/>
    <mergeCell ref="F20:G20"/>
    <mergeCell ref="H20:H21"/>
    <mergeCell ref="I20:J20"/>
    <mergeCell ref="X108:X113"/>
    <mergeCell ref="R19:S19"/>
    <mergeCell ref="T19:U19"/>
    <mergeCell ref="V19:W19"/>
    <mergeCell ref="S95:S96"/>
    <mergeCell ref="W95:W96"/>
    <mergeCell ref="T20:T21"/>
    <mergeCell ref="U20:U21"/>
    <mergeCell ref="V20:V21"/>
    <mergeCell ref="X19:X21"/>
    <mergeCell ref="W20:W21"/>
    <mergeCell ref="R20:R21"/>
    <mergeCell ref="S20:S21"/>
    <mergeCell ref="J1:L1"/>
    <mergeCell ref="J2:L2"/>
    <mergeCell ref="J3:L3"/>
    <mergeCell ref="J4:L4"/>
    <mergeCell ref="N19:N21"/>
    <mergeCell ref="K20:K21"/>
    <mergeCell ref="L20:M20"/>
  </mergeCells>
  <phoneticPr fontId="17" type="noConversion"/>
  <pageMargins left="0.39370078740157483" right="0.19685039370078741" top="0.39370078740157483" bottom="0.39370078740157483" header="0.51181102362204722" footer="0.51181102362204722"/>
  <pageSetup paperSize="9" scale="61" fitToHeight="1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V723"/>
  <sheetViews>
    <sheetView topLeftCell="A10" zoomScaleNormal="85" workbookViewId="0">
      <pane xSplit="4" ySplit="15" topLeftCell="E55" activePane="bottomRight" state="frozen"/>
      <selection pane="topRight" activeCell="E10" sqref="E10"/>
      <selection pane="bottomLeft" activeCell="A25" sqref="A25"/>
      <selection pane="bottomRight" activeCell="D59" sqref="D59"/>
    </sheetView>
  </sheetViews>
  <sheetFormatPr defaultRowHeight="15" x14ac:dyDescent="0.25"/>
  <cols>
    <col min="1" max="1" width="7.140625" style="3" customWidth="1"/>
    <col min="2" max="2" width="12.140625" style="116" customWidth="1"/>
    <col min="3" max="3" width="13.140625" style="117" customWidth="1"/>
    <col min="4" max="4" width="46.28515625" style="1" customWidth="1"/>
    <col min="5" max="5" width="11.42578125" style="1" customWidth="1"/>
    <col min="6" max="6" width="13.5703125" style="2" customWidth="1"/>
    <col min="7" max="7" width="9.5703125" style="1" customWidth="1"/>
    <col min="8" max="8" width="14" style="2" customWidth="1"/>
    <col min="9" max="9" width="12.85546875" style="145" customWidth="1"/>
    <col min="10" max="10" width="13.85546875" style="1" customWidth="1"/>
    <col min="11" max="11" width="14.140625" style="1" customWidth="1"/>
    <col min="12" max="12" width="22.140625" style="1" customWidth="1"/>
    <col min="13" max="13" width="22.28515625" style="1" customWidth="1"/>
    <col min="14" max="14" width="19.42578125" style="1" customWidth="1"/>
    <col min="15" max="15" width="9.140625" style="1"/>
    <col min="16" max="16" width="13.140625" style="1" customWidth="1"/>
    <col min="17" max="17" width="12.7109375" style="1" customWidth="1"/>
    <col min="18" max="16384" width="9.140625" style="1"/>
  </cols>
  <sheetData>
    <row r="1" spans="1:161" x14ac:dyDescent="0.25">
      <c r="J1" s="375" t="s">
        <v>367</v>
      </c>
      <c r="K1" s="375"/>
      <c r="L1" s="375"/>
    </row>
    <row r="2" spans="1:161" x14ac:dyDescent="0.25">
      <c r="J2" s="375" t="s">
        <v>364</v>
      </c>
      <c r="K2" s="375"/>
      <c r="L2" s="375"/>
    </row>
    <row r="3" spans="1:161" x14ac:dyDescent="0.25">
      <c r="J3" s="375" t="s">
        <v>365</v>
      </c>
      <c r="K3" s="375"/>
      <c r="L3" s="375"/>
    </row>
    <row r="4" spans="1:161" x14ac:dyDescent="0.25">
      <c r="J4" s="375" t="s">
        <v>366</v>
      </c>
      <c r="K4" s="375"/>
      <c r="L4" s="375"/>
    </row>
    <row r="5" spans="1:161" x14ac:dyDescent="0.25">
      <c r="J5" s="86"/>
      <c r="K5" s="86"/>
      <c r="L5" s="86"/>
    </row>
    <row r="6" spans="1:161" ht="16.5" x14ac:dyDescent="0.25">
      <c r="A6" s="373" t="s">
        <v>368</v>
      </c>
      <c r="B6" s="373"/>
      <c r="C6" s="373"/>
      <c r="D6" s="373"/>
      <c r="E6" s="91"/>
      <c r="F6" s="109"/>
      <c r="G6" s="91"/>
      <c r="H6" s="109"/>
      <c r="I6" s="146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  <c r="BM6" s="91"/>
      <c r="BN6" s="91"/>
      <c r="BO6" s="91"/>
      <c r="BP6" s="91"/>
      <c r="BQ6" s="91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1"/>
      <c r="CP6" s="91"/>
      <c r="CQ6" s="91"/>
      <c r="CR6" s="91"/>
      <c r="CS6" s="91"/>
      <c r="CT6" s="91"/>
      <c r="CU6" s="91"/>
      <c r="CV6" s="91"/>
      <c r="CW6" s="91"/>
      <c r="CX6" s="91"/>
      <c r="CY6" s="91"/>
      <c r="CZ6" s="91"/>
      <c r="DA6" s="91"/>
      <c r="DB6" s="91"/>
      <c r="DC6" s="91"/>
      <c r="DD6" s="91"/>
      <c r="DE6" s="91"/>
      <c r="DF6" s="91"/>
      <c r="DG6" s="91"/>
      <c r="DH6" s="91"/>
      <c r="DI6" s="91"/>
      <c r="DJ6" s="91"/>
      <c r="DK6" s="91"/>
      <c r="DL6" s="91"/>
      <c r="DM6" s="91"/>
      <c r="DN6" s="91"/>
      <c r="DO6" s="91"/>
      <c r="DP6" s="91"/>
      <c r="DQ6" s="91"/>
      <c r="DR6" s="91"/>
      <c r="DS6" s="91"/>
      <c r="DT6" s="91"/>
      <c r="DU6" s="91"/>
      <c r="DV6" s="91"/>
      <c r="DW6" s="91"/>
      <c r="DX6" s="91"/>
      <c r="DY6" s="91"/>
      <c r="DZ6" s="91"/>
      <c r="EA6" s="91"/>
      <c r="EB6" s="91"/>
      <c r="EC6" s="91"/>
      <c r="ED6" s="91"/>
      <c r="EE6" s="91"/>
      <c r="EF6" s="91"/>
      <c r="EG6" s="91"/>
      <c r="EH6" s="91"/>
      <c r="EI6" s="91"/>
      <c r="EJ6" s="91"/>
      <c r="EK6" s="91"/>
      <c r="EL6" s="91"/>
      <c r="EM6" s="91"/>
      <c r="EN6" s="91"/>
      <c r="EO6" s="91"/>
      <c r="EP6" s="91"/>
      <c r="EQ6" s="91"/>
      <c r="ER6" s="91"/>
      <c r="ES6" s="91"/>
      <c r="ET6" s="91"/>
      <c r="EU6" s="91"/>
      <c r="EV6" s="91"/>
      <c r="EW6" s="91"/>
      <c r="EX6" s="91"/>
      <c r="EY6" s="91"/>
      <c r="EZ6" s="91"/>
      <c r="FA6" s="91"/>
      <c r="FB6" s="91"/>
      <c r="FC6" s="91"/>
      <c r="FD6" s="91"/>
      <c r="FE6" s="91"/>
    </row>
    <row r="7" spans="1:161" ht="16.5" x14ac:dyDescent="0.25">
      <c r="A7" s="373" t="s">
        <v>369</v>
      </c>
      <c r="B7" s="373"/>
      <c r="C7" s="373"/>
      <c r="D7" s="373"/>
      <c r="E7" s="91"/>
      <c r="F7" s="109"/>
      <c r="G7" s="91"/>
      <c r="H7" s="109"/>
      <c r="I7" s="146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91"/>
      <c r="BO7" s="91"/>
      <c r="BP7" s="91"/>
      <c r="BQ7" s="91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1"/>
      <c r="CP7" s="91"/>
      <c r="CQ7" s="91"/>
      <c r="CR7" s="91"/>
      <c r="CS7" s="91"/>
      <c r="CT7" s="91"/>
      <c r="CU7" s="91"/>
      <c r="CV7" s="91"/>
      <c r="CW7" s="91"/>
      <c r="CX7" s="91"/>
      <c r="CY7" s="91"/>
      <c r="CZ7" s="91"/>
      <c r="DA7" s="91"/>
      <c r="DB7" s="91"/>
      <c r="DC7" s="91"/>
      <c r="DD7" s="91"/>
      <c r="DE7" s="91"/>
      <c r="DF7" s="91"/>
      <c r="DG7" s="91"/>
      <c r="DH7" s="91"/>
      <c r="DI7" s="91"/>
      <c r="DJ7" s="91"/>
      <c r="DK7" s="91"/>
      <c r="DL7" s="91"/>
      <c r="DM7" s="91"/>
      <c r="DN7" s="91"/>
      <c r="DO7" s="91"/>
      <c r="DP7" s="91"/>
      <c r="DQ7" s="91"/>
      <c r="DR7" s="91"/>
      <c r="DS7" s="91"/>
      <c r="DT7" s="91"/>
      <c r="DU7" s="91"/>
      <c r="DV7" s="91"/>
      <c r="DW7" s="91"/>
      <c r="DX7" s="91"/>
      <c r="DY7" s="91"/>
      <c r="DZ7" s="91"/>
      <c r="EA7" s="91"/>
      <c r="EB7" s="91"/>
      <c r="EC7" s="91"/>
      <c r="ED7" s="91"/>
      <c r="EE7" s="91"/>
      <c r="EF7" s="91"/>
      <c r="EG7" s="91"/>
      <c r="EH7" s="91"/>
      <c r="EI7" s="91"/>
      <c r="EJ7" s="91"/>
      <c r="EK7" s="91"/>
      <c r="EL7" s="91"/>
      <c r="EM7" s="91"/>
      <c r="EN7" s="91"/>
      <c r="EO7" s="91"/>
      <c r="EP7" s="91"/>
      <c r="EQ7" s="91"/>
      <c r="ER7" s="91"/>
      <c r="ES7" s="91"/>
      <c r="ET7" s="91"/>
      <c r="EU7" s="91"/>
      <c r="EV7" s="91"/>
      <c r="EW7" s="91"/>
      <c r="EX7" s="91"/>
      <c r="EY7" s="91"/>
      <c r="EZ7" s="91"/>
      <c r="FA7" s="91"/>
      <c r="FB7" s="91"/>
      <c r="FC7" s="91"/>
      <c r="FD7" s="91"/>
      <c r="FE7" s="91"/>
    </row>
    <row r="8" spans="1:161" ht="15.75" x14ac:dyDescent="0.25">
      <c r="A8" s="87"/>
      <c r="B8" s="118"/>
      <c r="C8" s="119"/>
      <c r="D8" s="87"/>
      <c r="E8" s="87"/>
      <c r="F8" s="111"/>
      <c r="G8" s="87"/>
      <c r="H8" s="111"/>
      <c r="I8" s="14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8" t="s">
        <v>370</v>
      </c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3" t="s">
        <v>371</v>
      </c>
      <c r="BV8" s="93"/>
      <c r="BW8" s="93"/>
      <c r="BX8" s="93"/>
      <c r="BY8" s="93"/>
      <c r="BZ8" s="93"/>
      <c r="CA8" s="93"/>
      <c r="CB8" s="93"/>
      <c r="CC8" s="93"/>
      <c r="CD8" s="93"/>
      <c r="CE8" s="92"/>
      <c r="CF8" s="92"/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87" t="s">
        <v>372</v>
      </c>
      <c r="CR8" s="87"/>
      <c r="CS8" s="87"/>
      <c r="CT8" s="87"/>
      <c r="CU8" s="87"/>
      <c r="CV8" s="87"/>
      <c r="CW8" s="87"/>
      <c r="CX8" s="87"/>
      <c r="CY8" s="87"/>
      <c r="CZ8" s="87"/>
      <c r="DA8" s="87"/>
      <c r="DB8" s="87"/>
      <c r="DC8" s="87"/>
      <c r="DD8" s="87"/>
      <c r="DE8" s="87"/>
      <c r="DF8" s="87"/>
      <c r="DG8" s="87"/>
      <c r="DH8" s="87"/>
      <c r="DI8" s="87"/>
      <c r="DJ8" s="87"/>
      <c r="DK8" s="87"/>
      <c r="DL8" s="87"/>
      <c r="DM8" s="87"/>
      <c r="DN8" s="87"/>
      <c r="DO8" s="87"/>
      <c r="DP8" s="87"/>
      <c r="DQ8" s="87"/>
      <c r="DR8" s="87"/>
      <c r="DS8" s="87"/>
      <c r="DT8" s="87"/>
      <c r="DU8" s="87"/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</row>
    <row r="9" spans="1:161" ht="12.75" x14ac:dyDescent="0.2">
      <c r="A9" s="89"/>
      <c r="B9" s="120"/>
      <c r="C9" s="121"/>
      <c r="D9" s="89"/>
      <c r="E9" s="89"/>
      <c r="F9" s="112"/>
      <c r="G9" s="89"/>
      <c r="H9" s="112"/>
      <c r="I9" s="148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89"/>
      <c r="DG9" s="89"/>
      <c r="DH9" s="89"/>
      <c r="DI9" s="89"/>
      <c r="DJ9" s="89"/>
      <c r="DK9" s="89"/>
      <c r="DL9" s="89"/>
      <c r="DM9" s="89"/>
      <c r="DN9" s="89"/>
      <c r="DO9" s="89"/>
      <c r="DP9" s="89"/>
      <c r="DQ9" s="89"/>
      <c r="DR9" s="89"/>
      <c r="DS9" s="89"/>
      <c r="DT9" s="89"/>
      <c r="DU9" s="89"/>
      <c r="DV9" s="89"/>
      <c r="DW9" s="89"/>
      <c r="DX9" s="89"/>
      <c r="DY9" s="89"/>
      <c r="DZ9" s="89"/>
      <c r="EA9" s="89"/>
      <c r="EB9" s="89"/>
      <c r="EC9" s="89"/>
      <c r="ED9" s="89"/>
      <c r="EE9" s="89"/>
      <c r="EF9" s="89"/>
      <c r="EG9" s="89"/>
      <c r="EH9" s="89"/>
      <c r="EI9" s="89"/>
      <c r="EJ9" s="89"/>
      <c r="EK9" s="89"/>
      <c r="EL9" s="89"/>
      <c r="EM9" s="89"/>
      <c r="EN9" s="89"/>
      <c r="EO9" s="89"/>
      <c r="EP9" s="89"/>
      <c r="EQ9" s="89"/>
      <c r="ER9" s="89"/>
      <c r="ES9" s="89"/>
      <c r="ET9" s="89"/>
      <c r="EU9" s="89"/>
      <c r="EV9" s="89"/>
      <c r="EW9" s="89"/>
      <c r="EX9" s="89"/>
      <c r="EY9" s="89"/>
      <c r="EZ9" s="89"/>
      <c r="FA9" s="89"/>
      <c r="FB9" s="89"/>
      <c r="FC9" s="89"/>
      <c r="FD9" s="89"/>
      <c r="FE9" s="89"/>
    </row>
    <row r="10" spans="1:161" ht="15.75" hidden="1" x14ac:dyDescent="0.25">
      <c r="A10" s="94" t="s">
        <v>373</v>
      </c>
      <c r="B10" s="122"/>
      <c r="C10" s="123"/>
      <c r="D10" s="94"/>
      <c r="E10" s="94"/>
      <c r="F10" s="113"/>
      <c r="G10" s="94"/>
      <c r="H10" s="113"/>
      <c r="I10" s="149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5"/>
      <c r="BA10" s="90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96"/>
      <c r="BR10" s="96"/>
      <c r="BS10" s="96"/>
      <c r="BT10" s="96"/>
      <c r="BU10" s="96"/>
      <c r="BV10" s="96"/>
      <c r="BW10" s="96"/>
      <c r="BX10" s="96"/>
      <c r="BY10" s="96"/>
      <c r="BZ10" s="96"/>
      <c r="CA10" s="96"/>
      <c r="CB10" s="96"/>
      <c r="CC10" s="96"/>
      <c r="CD10" s="96"/>
      <c r="CE10" s="96"/>
      <c r="CF10" s="96"/>
      <c r="CG10" s="96"/>
      <c r="CH10" s="96"/>
      <c r="CI10" s="96"/>
      <c r="CJ10" s="96"/>
      <c r="CK10" s="96"/>
      <c r="CL10" s="96"/>
      <c r="CM10" s="96"/>
      <c r="CN10" s="96"/>
      <c r="CO10" s="96"/>
      <c r="CP10" s="96"/>
      <c r="CQ10" s="96"/>
      <c r="CR10" s="96"/>
      <c r="CS10" s="96"/>
      <c r="CT10" s="96"/>
      <c r="CU10" s="96"/>
      <c r="CV10" s="96"/>
      <c r="CW10" s="96"/>
      <c r="CX10" s="96"/>
      <c r="CY10" s="96"/>
      <c r="CZ10" s="96"/>
      <c r="DA10" s="96"/>
      <c r="DB10" s="96"/>
      <c r="DC10" s="96"/>
      <c r="DD10" s="96"/>
      <c r="DE10" s="96"/>
      <c r="DF10" s="96"/>
      <c r="DG10" s="96"/>
      <c r="DH10" s="96"/>
      <c r="DI10" s="96"/>
      <c r="DJ10" s="96"/>
      <c r="DK10" s="96"/>
      <c r="DL10" s="96"/>
      <c r="DM10" s="96"/>
      <c r="DN10" s="96"/>
      <c r="DO10" s="96"/>
      <c r="DP10" s="96"/>
      <c r="DQ10" s="96"/>
      <c r="DR10" s="96"/>
      <c r="DS10" s="96"/>
      <c r="DT10" s="96"/>
      <c r="DU10" s="96"/>
      <c r="DV10" s="96"/>
      <c r="DW10" s="96"/>
      <c r="DX10" s="96"/>
      <c r="DY10" s="96"/>
      <c r="DZ10" s="96"/>
      <c r="EA10" s="96"/>
      <c r="EB10" s="96"/>
      <c r="EC10" s="96"/>
      <c r="ED10" s="96"/>
      <c r="EE10" s="96"/>
      <c r="EF10" s="96"/>
      <c r="EG10" s="96"/>
      <c r="EH10" s="96"/>
      <c r="EI10" s="96"/>
      <c r="EJ10" s="96"/>
      <c r="EK10" s="96"/>
      <c r="EL10" s="96"/>
      <c r="EM10" s="96"/>
      <c r="EN10" s="96"/>
      <c r="EO10" s="96"/>
      <c r="EP10" s="96"/>
      <c r="EQ10" s="96"/>
      <c r="ER10" s="96"/>
      <c r="ES10" s="96"/>
      <c r="ET10" s="96"/>
      <c r="EU10" s="96"/>
      <c r="EV10" s="96"/>
      <c r="EW10" s="96"/>
      <c r="EX10" s="96"/>
      <c r="EY10" s="96"/>
      <c r="EZ10" s="96"/>
      <c r="FA10" s="96"/>
      <c r="FB10" s="96"/>
      <c r="FC10" s="96"/>
      <c r="FD10" s="97"/>
    </row>
    <row r="11" spans="1:161" ht="15.75" hidden="1" x14ac:dyDescent="0.25">
      <c r="A11" s="94" t="s">
        <v>374</v>
      </c>
      <c r="B11" s="122"/>
      <c r="C11" s="123"/>
      <c r="D11" s="94"/>
      <c r="E11" s="94"/>
      <c r="F11" s="113"/>
      <c r="G11" s="94"/>
      <c r="H11" s="113"/>
      <c r="I11" s="149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5"/>
      <c r="BA11" s="90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98"/>
      <c r="BR11" s="98"/>
      <c r="BS11" s="98"/>
      <c r="BT11" s="98"/>
      <c r="BU11" s="98"/>
      <c r="BV11" s="98"/>
      <c r="BW11" s="98"/>
      <c r="BX11" s="98"/>
      <c r="BY11" s="98"/>
      <c r="BZ11" s="98"/>
      <c r="CA11" s="98"/>
      <c r="CB11" s="98"/>
      <c r="CC11" s="98"/>
      <c r="CD11" s="98"/>
      <c r="CE11" s="98"/>
      <c r="CF11" s="98"/>
      <c r="CG11" s="98"/>
      <c r="CH11" s="98"/>
      <c r="CI11" s="98"/>
      <c r="CJ11" s="98"/>
      <c r="CK11" s="98"/>
      <c r="CL11" s="98"/>
      <c r="CM11" s="98"/>
      <c r="CN11" s="98"/>
      <c r="CO11" s="98"/>
      <c r="CP11" s="98"/>
      <c r="CQ11" s="98"/>
      <c r="CR11" s="98"/>
      <c r="CS11" s="98"/>
      <c r="CT11" s="98"/>
      <c r="CU11" s="98"/>
      <c r="CV11" s="98"/>
      <c r="CW11" s="98"/>
      <c r="CX11" s="98"/>
      <c r="CY11" s="98"/>
      <c r="CZ11" s="98"/>
      <c r="DA11" s="98"/>
      <c r="DB11" s="98"/>
      <c r="DC11" s="98"/>
      <c r="DD11" s="98"/>
      <c r="DE11" s="98"/>
      <c r="DF11" s="98"/>
      <c r="DG11" s="98"/>
      <c r="DH11" s="98"/>
      <c r="DI11" s="98"/>
      <c r="DJ11" s="98"/>
      <c r="DK11" s="98"/>
      <c r="DL11" s="98"/>
      <c r="DM11" s="98"/>
      <c r="DN11" s="98"/>
      <c r="DO11" s="98"/>
      <c r="DP11" s="98"/>
      <c r="DQ11" s="98"/>
      <c r="DR11" s="98"/>
      <c r="DS11" s="98"/>
      <c r="DT11" s="98"/>
      <c r="DU11" s="98"/>
      <c r="DV11" s="98"/>
      <c r="DW11" s="98"/>
      <c r="DX11" s="98"/>
      <c r="DY11" s="98"/>
      <c r="DZ11" s="98"/>
      <c r="EA11" s="98"/>
      <c r="EB11" s="98"/>
      <c r="EC11" s="98"/>
      <c r="ED11" s="98"/>
      <c r="EE11" s="98"/>
      <c r="EF11" s="98"/>
      <c r="EG11" s="98"/>
      <c r="EH11" s="98"/>
      <c r="EI11" s="98"/>
      <c r="EJ11" s="98"/>
      <c r="EK11" s="98"/>
      <c r="EL11" s="98"/>
      <c r="EM11" s="98"/>
      <c r="EN11" s="98"/>
      <c r="EO11" s="98"/>
      <c r="EP11" s="98"/>
      <c r="EQ11" s="98"/>
      <c r="ER11" s="98"/>
      <c r="ES11" s="98"/>
      <c r="ET11" s="98"/>
      <c r="EU11" s="98"/>
      <c r="EV11" s="98"/>
      <c r="EW11" s="98"/>
      <c r="EX11" s="98"/>
      <c r="EY11" s="98"/>
      <c r="EZ11" s="98"/>
      <c r="FA11" s="98"/>
      <c r="FB11" s="98"/>
      <c r="FC11" s="98"/>
      <c r="FD11" s="99"/>
    </row>
    <row r="12" spans="1:161" ht="15.75" hidden="1" x14ac:dyDescent="0.25">
      <c r="A12" s="94" t="s">
        <v>375</v>
      </c>
      <c r="B12" s="122"/>
      <c r="C12" s="123"/>
      <c r="D12" s="94"/>
      <c r="E12" s="94"/>
      <c r="F12" s="113"/>
      <c r="G12" s="94"/>
      <c r="H12" s="113"/>
      <c r="I12" s="149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5"/>
      <c r="BA12" s="90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98"/>
      <c r="BR12" s="98"/>
      <c r="BS12" s="98"/>
      <c r="BT12" s="98"/>
      <c r="BU12" s="98"/>
      <c r="BV12" s="98"/>
      <c r="BW12" s="98"/>
      <c r="BX12" s="98"/>
      <c r="BY12" s="98"/>
      <c r="BZ12" s="98"/>
      <c r="CA12" s="98"/>
      <c r="CB12" s="98"/>
      <c r="CC12" s="98"/>
      <c r="CD12" s="98"/>
      <c r="CE12" s="98"/>
      <c r="CF12" s="98"/>
      <c r="CG12" s="98"/>
      <c r="CH12" s="98"/>
      <c r="CI12" s="98"/>
      <c r="CJ12" s="98"/>
      <c r="CK12" s="98"/>
      <c r="CL12" s="98"/>
      <c r="CM12" s="98"/>
      <c r="CN12" s="98"/>
      <c r="CO12" s="98"/>
      <c r="CP12" s="98"/>
      <c r="CQ12" s="98"/>
      <c r="CR12" s="98"/>
      <c r="CS12" s="98"/>
      <c r="CT12" s="98"/>
      <c r="CU12" s="98"/>
      <c r="CV12" s="98"/>
      <c r="CW12" s="98"/>
      <c r="CX12" s="98"/>
      <c r="CY12" s="98"/>
      <c r="CZ12" s="98"/>
      <c r="DA12" s="98"/>
      <c r="DB12" s="98"/>
      <c r="DC12" s="98"/>
      <c r="DD12" s="98"/>
      <c r="DE12" s="98"/>
      <c r="DF12" s="98"/>
      <c r="DG12" s="98"/>
      <c r="DH12" s="98"/>
      <c r="DI12" s="98"/>
      <c r="DJ12" s="98"/>
      <c r="DK12" s="98"/>
      <c r="DL12" s="98"/>
      <c r="DM12" s="98"/>
      <c r="DN12" s="98"/>
      <c r="DO12" s="98"/>
      <c r="DP12" s="98"/>
      <c r="DQ12" s="98"/>
      <c r="DR12" s="98"/>
      <c r="DS12" s="98"/>
      <c r="DT12" s="98"/>
      <c r="DU12" s="98"/>
      <c r="DV12" s="98"/>
      <c r="DW12" s="98"/>
      <c r="DX12" s="98"/>
      <c r="DY12" s="98"/>
      <c r="DZ12" s="98"/>
      <c r="EA12" s="98"/>
      <c r="EB12" s="98"/>
      <c r="EC12" s="98"/>
      <c r="ED12" s="98"/>
      <c r="EE12" s="98"/>
      <c r="EF12" s="98"/>
      <c r="EG12" s="98"/>
      <c r="EH12" s="98"/>
      <c r="EI12" s="98"/>
      <c r="EJ12" s="98"/>
      <c r="EK12" s="98"/>
      <c r="EL12" s="98"/>
      <c r="EM12" s="98"/>
      <c r="EN12" s="98"/>
      <c r="EO12" s="98"/>
      <c r="EP12" s="98"/>
      <c r="EQ12" s="98"/>
      <c r="ER12" s="98"/>
      <c r="ES12" s="98"/>
      <c r="ET12" s="98"/>
      <c r="EU12" s="98"/>
      <c r="EV12" s="98"/>
      <c r="EW12" s="98"/>
      <c r="EX12" s="98"/>
      <c r="EY12" s="98"/>
      <c r="EZ12" s="98"/>
      <c r="FA12" s="98"/>
      <c r="FB12" s="98"/>
      <c r="FC12" s="98"/>
      <c r="FD12" s="99"/>
    </row>
    <row r="13" spans="1:161" ht="15.75" hidden="1" x14ac:dyDescent="0.25">
      <c r="A13" s="94" t="s">
        <v>376</v>
      </c>
      <c r="B13" s="122"/>
      <c r="C13" s="123"/>
      <c r="D13" s="94"/>
      <c r="E13" s="94"/>
      <c r="F13" s="113"/>
      <c r="G13" s="94"/>
      <c r="H13" s="113"/>
      <c r="I13" s="149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5"/>
      <c r="BA13" s="90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8"/>
      <c r="BY13" s="98"/>
      <c r="BZ13" s="98"/>
      <c r="CA13" s="98"/>
      <c r="CB13" s="98"/>
      <c r="CC13" s="98"/>
      <c r="CD13" s="98"/>
      <c r="CE13" s="98"/>
      <c r="CF13" s="98"/>
      <c r="CG13" s="98"/>
      <c r="CH13" s="98"/>
      <c r="CI13" s="98"/>
      <c r="CJ13" s="98"/>
      <c r="CK13" s="98"/>
      <c r="CL13" s="98"/>
      <c r="CM13" s="98"/>
      <c r="CN13" s="98"/>
      <c r="CO13" s="98"/>
      <c r="CP13" s="98"/>
      <c r="CQ13" s="98"/>
      <c r="CR13" s="98"/>
      <c r="CS13" s="98"/>
      <c r="CT13" s="98"/>
      <c r="CU13" s="98"/>
      <c r="CV13" s="98"/>
      <c r="CW13" s="98"/>
      <c r="CX13" s="98"/>
      <c r="CY13" s="98"/>
      <c r="CZ13" s="98"/>
      <c r="DA13" s="98"/>
      <c r="DB13" s="98"/>
      <c r="DC13" s="98"/>
      <c r="DD13" s="98"/>
      <c r="DE13" s="98"/>
      <c r="DF13" s="98"/>
      <c r="DG13" s="98"/>
      <c r="DH13" s="98"/>
      <c r="DI13" s="98"/>
      <c r="DJ13" s="98"/>
      <c r="DK13" s="98"/>
      <c r="DL13" s="98"/>
      <c r="DM13" s="98"/>
      <c r="DN13" s="98"/>
      <c r="DO13" s="98"/>
      <c r="DP13" s="98"/>
      <c r="DQ13" s="98"/>
      <c r="DR13" s="98"/>
      <c r="DS13" s="98"/>
      <c r="DT13" s="98"/>
      <c r="DU13" s="98"/>
      <c r="DV13" s="98"/>
      <c r="DW13" s="98"/>
      <c r="DX13" s="98"/>
      <c r="DY13" s="98"/>
      <c r="DZ13" s="98"/>
      <c r="EA13" s="98"/>
      <c r="EB13" s="98"/>
      <c r="EC13" s="98"/>
      <c r="ED13" s="98"/>
      <c r="EE13" s="98"/>
      <c r="EF13" s="98"/>
      <c r="EG13" s="98"/>
      <c r="EH13" s="98"/>
      <c r="EI13" s="98"/>
      <c r="EJ13" s="98"/>
      <c r="EK13" s="98"/>
      <c r="EL13" s="98"/>
      <c r="EM13" s="98"/>
      <c r="EN13" s="98"/>
      <c r="EO13" s="98"/>
      <c r="EP13" s="98"/>
      <c r="EQ13" s="98"/>
      <c r="ER13" s="98"/>
      <c r="ES13" s="98"/>
      <c r="ET13" s="98"/>
      <c r="EU13" s="98"/>
      <c r="EV13" s="98"/>
      <c r="EW13" s="98"/>
      <c r="EX13" s="98"/>
      <c r="EY13" s="98"/>
      <c r="EZ13" s="98"/>
      <c r="FA13" s="98"/>
      <c r="FB13" s="98"/>
      <c r="FC13" s="98"/>
      <c r="FD13" s="99"/>
    </row>
    <row r="14" spans="1:161" ht="15.75" hidden="1" x14ac:dyDescent="0.25">
      <c r="A14" s="94" t="s">
        <v>377</v>
      </c>
      <c r="B14" s="122"/>
      <c r="C14" s="123"/>
      <c r="D14" s="94"/>
      <c r="E14" s="94"/>
      <c r="F14" s="113"/>
      <c r="G14" s="94"/>
      <c r="H14" s="113"/>
      <c r="I14" s="149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5"/>
      <c r="BA14" s="90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98"/>
      <c r="CS14" s="98"/>
      <c r="CT14" s="98"/>
      <c r="CU14" s="98"/>
      <c r="CV14" s="98"/>
      <c r="CW14" s="98"/>
      <c r="CX14" s="98"/>
      <c r="CY14" s="98"/>
      <c r="CZ14" s="98"/>
      <c r="DA14" s="98"/>
      <c r="DB14" s="98"/>
      <c r="DC14" s="98"/>
      <c r="DD14" s="98"/>
      <c r="DE14" s="98"/>
      <c r="DF14" s="98"/>
      <c r="DG14" s="98"/>
      <c r="DH14" s="98"/>
      <c r="DI14" s="98"/>
      <c r="DJ14" s="98"/>
      <c r="DK14" s="98"/>
      <c r="DL14" s="98"/>
      <c r="DM14" s="98"/>
      <c r="DN14" s="98"/>
      <c r="DO14" s="98"/>
      <c r="DP14" s="98"/>
      <c r="DQ14" s="98"/>
      <c r="DR14" s="98"/>
      <c r="DS14" s="98"/>
      <c r="DT14" s="98"/>
      <c r="DU14" s="98"/>
      <c r="DV14" s="98"/>
      <c r="DW14" s="98"/>
      <c r="DX14" s="98"/>
      <c r="DY14" s="98"/>
      <c r="DZ14" s="98"/>
      <c r="EA14" s="98"/>
      <c r="EB14" s="98"/>
      <c r="EC14" s="98"/>
      <c r="ED14" s="98"/>
      <c r="EE14" s="98"/>
      <c r="EF14" s="98"/>
      <c r="EG14" s="98"/>
      <c r="EH14" s="98"/>
      <c r="EI14" s="98"/>
      <c r="EJ14" s="98"/>
      <c r="EK14" s="98"/>
      <c r="EL14" s="98"/>
      <c r="EM14" s="98"/>
      <c r="EN14" s="98"/>
      <c r="EO14" s="98"/>
      <c r="EP14" s="98"/>
      <c r="EQ14" s="98"/>
      <c r="ER14" s="98"/>
      <c r="ES14" s="98"/>
      <c r="ET14" s="98"/>
      <c r="EU14" s="98"/>
      <c r="EV14" s="98"/>
      <c r="EW14" s="98"/>
      <c r="EX14" s="98"/>
      <c r="EY14" s="98"/>
      <c r="EZ14" s="98"/>
      <c r="FA14" s="98"/>
      <c r="FB14" s="98"/>
      <c r="FC14" s="98"/>
      <c r="FD14" s="99"/>
    </row>
    <row r="15" spans="1:161" ht="15.75" hidden="1" x14ac:dyDescent="0.25">
      <c r="A15" s="94" t="s">
        <v>378</v>
      </c>
      <c r="B15" s="122"/>
      <c r="C15" s="123"/>
      <c r="D15" s="94"/>
      <c r="E15" s="94"/>
      <c r="F15" s="113"/>
      <c r="G15" s="94"/>
      <c r="H15" s="113"/>
      <c r="I15" s="149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5"/>
      <c r="BA15" s="90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  <c r="BN15" s="98"/>
      <c r="BO15" s="98"/>
      <c r="BP15" s="98"/>
      <c r="BQ15" s="98"/>
      <c r="BR15" s="98"/>
      <c r="BS15" s="98"/>
      <c r="BT15" s="98"/>
      <c r="BU15" s="98"/>
      <c r="BV15" s="98"/>
      <c r="BW15" s="98"/>
      <c r="BX15" s="98"/>
      <c r="BY15" s="98"/>
      <c r="BZ15" s="98"/>
      <c r="CA15" s="98"/>
      <c r="CB15" s="98"/>
      <c r="CC15" s="98"/>
      <c r="CD15" s="98"/>
      <c r="CE15" s="98"/>
      <c r="CF15" s="98"/>
      <c r="CG15" s="98"/>
      <c r="CH15" s="98"/>
      <c r="CI15" s="98"/>
      <c r="CJ15" s="98"/>
      <c r="CK15" s="98"/>
      <c r="CL15" s="98"/>
      <c r="CM15" s="98"/>
      <c r="CN15" s="98"/>
      <c r="CO15" s="98"/>
      <c r="CP15" s="98"/>
      <c r="CQ15" s="98"/>
      <c r="CR15" s="98"/>
      <c r="CS15" s="98"/>
      <c r="CT15" s="98"/>
      <c r="CU15" s="98"/>
      <c r="CV15" s="98"/>
      <c r="CW15" s="98"/>
      <c r="CX15" s="98"/>
      <c r="CY15" s="98"/>
      <c r="CZ15" s="98"/>
      <c r="DA15" s="98"/>
      <c r="DB15" s="98"/>
      <c r="DC15" s="98"/>
      <c r="DD15" s="98"/>
      <c r="DE15" s="98"/>
      <c r="DF15" s="98"/>
      <c r="DG15" s="98"/>
      <c r="DH15" s="98"/>
      <c r="DI15" s="98"/>
      <c r="DJ15" s="98"/>
      <c r="DK15" s="98"/>
      <c r="DL15" s="98"/>
      <c r="DM15" s="98"/>
      <c r="DN15" s="98"/>
      <c r="DO15" s="98"/>
      <c r="DP15" s="98"/>
      <c r="DQ15" s="98"/>
      <c r="DR15" s="98"/>
      <c r="DS15" s="98"/>
      <c r="DT15" s="98"/>
      <c r="DU15" s="98"/>
      <c r="DV15" s="98"/>
      <c r="DW15" s="98"/>
      <c r="DX15" s="98"/>
      <c r="DY15" s="98"/>
      <c r="DZ15" s="98"/>
      <c r="EA15" s="98"/>
      <c r="EB15" s="98"/>
      <c r="EC15" s="98"/>
      <c r="ED15" s="98"/>
      <c r="EE15" s="98"/>
      <c r="EF15" s="98"/>
      <c r="EG15" s="98"/>
      <c r="EH15" s="98"/>
      <c r="EI15" s="98"/>
      <c r="EJ15" s="98"/>
      <c r="EK15" s="98"/>
      <c r="EL15" s="98"/>
      <c r="EM15" s="98"/>
      <c r="EN15" s="98"/>
      <c r="EO15" s="98"/>
      <c r="EP15" s="98"/>
      <c r="EQ15" s="98"/>
      <c r="ER15" s="98"/>
      <c r="ES15" s="98"/>
      <c r="ET15" s="98"/>
      <c r="EU15" s="98"/>
      <c r="EV15" s="98"/>
      <c r="EW15" s="98"/>
      <c r="EX15" s="98"/>
      <c r="EY15" s="98"/>
      <c r="EZ15" s="98"/>
      <c r="FA15" s="98"/>
      <c r="FB15" s="98"/>
      <c r="FC15" s="98"/>
      <c r="FD15" s="99"/>
    </row>
    <row r="16" spans="1:161" ht="15.75" hidden="1" x14ac:dyDescent="0.25">
      <c r="A16" s="94" t="s">
        <v>379</v>
      </c>
      <c r="B16" s="122"/>
      <c r="C16" s="123"/>
      <c r="D16" s="94"/>
      <c r="E16" s="94"/>
      <c r="F16" s="113"/>
      <c r="G16" s="94"/>
      <c r="H16" s="113"/>
      <c r="I16" s="149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5"/>
      <c r="BA16" s="90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8"/>
      <c r="CB16" s="98"/>
      <c r="CC16" s="98"/>
      <c r="CD16" s="98"/>
      <c r="CE16" s="98"/>
      <c r="CF16" s="98"/>
      <c r="CG16" s="98"/>
      <c r="CH16" s="98"/>
      <c r="CI16" s="98"/>
      <c r="CJ16" s="98"/>
      <c r="CK16" s="98"/>
      <c r="CL16" s="98"/>
      <c r="CM16" s="98"/>
      <c r="CN16" s="98"/>
      <c r="CO16" s="98"/>
      <c r="CP16" s="98"/>
      <c r="CQ16" s="98"/>
      <c r="CR16" s="98"/>
      <c r="CS16" s="98"/>
      <c r="CT16" s="98"/>
      <c r="CU16" s="98"/>
      <c r="CV16" s="98"/>
      <c r="CW16" s="98"/>
      <c r="CX16" s="98"/>
      <c r="CY16" s="98"/>
      <c r="CZ16" s="98"/>
      <c r="DA16" s="98"/>
      <c r="DB16" s="98"/>
      <c r="DC16" s="98"/>
      <c r="DD16" s="98"/>
      <c r="DE16" s="98"/>
      <c r="DF16" s="98"/>
      <c r="DG16" s="98"/>
      <c r="DH16" s="98"/>
      <c r="DI16" s="98"/>
      <c r="DJ16" s="98"/>
      <c r="DK16" s="98"/>
      <c r="DL16" s="98"/>
      <c r="DM16" s="98"/>
      <c r="DN16" s="98"/>
      <c r="DO16" s="98"/>
      <c r="DP16" s="98"/>
      <c r="DQ16" s="98"/>
      <c r="DR16" s="98"/>
      <c r="DS16" s="98"/>
      <c r="DT16" s="98"/>
      <c r="DU16" s="98"/>
      <c r="DV16" s="98"/>
      <c r="DW16" s="98"/>
      <c r="DX16" s="98"/>
      <c r="DY16" s="98"/>
      <c r="DZ16" s="98"/>
      <c r="EA16" s="98"/>
      <c r="EB16" s="98"/>
      <c r="EC16" s="98"/>
      <c r="ED16" s="98"/>
      <c r="EE16" s="98"/>
      <c r="EF16" s="98"/>
      <c r="EG16" s="98"/>
      <c r="EH16" s="98"/>
      <c r="EI16" s="98"/>
      <c r="EJ16" s="98"/>
      <c r="EK16" s="98"/>
      <c r="EL16" s="98"/>
      <c r="EM16" s="98"/>
      <c r="EN16" s="98"/>
      <c r="EO16" s="98"/>
      <c r="EP16" s="98"/>
      <c r="EQ16" s="98"/>
      <c r="ER16" s="98"/>
      <c r="ES16" s="98"/>
      <c r="ET16" s="98"/>
      <c r="EU16" s="98"/>
      <c r="EV16" s="98"/>
      <c r="EW16" s="98"/>
      <c r="EX16" s="98"/>
      <c r="EY16" s="98"/>
      <c r="EZ16" s="98"/>
      <c r="FA16" s="98"/>
      <c r="FB16" s="98"/>
      <c r="FC16" s="98"/>
      <c r="FD16" s="99"/>
    </row>
    <row r="17" spans="1:256" hidden="1" x14ac:dyDescent="0.25">
      <c r="J17" s="86"/>
      <c r="K17" s="86"/>
      <c r="L17" s="86"/>
    </row>
    <row r="18" spans="1:256" hidden="1" x14ac:dyDescent="0.25">
      <c r="J18" s="86"/>
      <c r="K18" s="86"/>
      <c r="L18" s="86"/>
    </row>
    <row r="19" spans="1:256" s="141" customFormat="1" ht="12.75" x14ac:dyDescent="0.2">
      <c r="A19" s="383" t="s">
        <v>380</v>
      </c>
      <c r="B19" s="383" t="s">
        <v>381</v>
      </c>
      <c r="C19" s="383" t="s">
        <v>382</v>
      </c>
      <c r="D19" s="386" t="s">
        <v>383</v>
      </c>
      <c r="E19" s="387"/>
      <c r="F19" s="387"/>
      <c r="G19" s="387"/>
      <c r="H19" s="387"/>
      <c r="I19" s="387"/>
      <c r="J19" s="387"/>
      <c r="K19" s="387"/>
      <c r="L19" s="387"/>
      <c r="M19" s="387"/>
      <c r="N19" s="388" t="s">
        <v>384</v>
      </c>
      <c r="O19" s="388" t="s">
        <v>385</v>
      </c>
    </row>
    <row r="20" spans="1:256" s="141" customFormat="1" ht="12.75" x14ac:dyDescent="0.2">
      <c r="A20" s="401"/>
      <c r="B20" s="384"/>
      <c r="C20" s="384"/>
      <c r="D20" s="388" t="s">
        <v>386</v>
      </c>
      <c r="E20" s="388" t="s">
        <v>387</v>
      </c>
      <c r="F20" s="386" t="s">
        <v>12</v>
      </c>
      <c r="G20" s="387"/>
      <c r="H20" s="388" t="s">
        <v>388</v>
      </c>
      <c r="I20" s="386" t="s">
        <v>389</v>
      </c>
      <c r="J20" s="387"/>
      <c r="K20" s="388" t="s">
        <v>390</v>
      </c>
      <c r="L20" s="386" t="s">
        <v>391</v>
      </c>
      <c r="M20" s="387"/>
      <c r="N20" s="389"/>
      <c r="O20" s="390"/>
    </row>
    <row r="21" spans="1:256" s="141" customFormat="1" ht="60" x14ac:dyDescent="0.2">
      <c r="A21" s="402"/>
      <c r="B21" s="385"/>
      <c r="C21" s="385"/>
      <c r="D21" s="390"/>
      <c r="E21" s="390"/>
      <c r="F21" s="101" t="s">
        <v>392</v>
      </c>
      <c r="G21" s="101" t="s">
        <v>393</v>
      </c>
      <c r="H21" s="390"/>
      <c r="I21" s="142" t="s">
        <v>394</v>
      </c>
      <c r="J21" s="101" t="s">
        <v>393</v>
      </c>
      <c r="K21" s="390"/>
      <c r="L21" s="101" t="s">
        <v>395</v>
      </c>
      <c r="M21" s="101" t="s">
        <v>396</v>
      </c>
      <c r="N21" s="390"/>
      <c r="O21" s="101" t="s">
        <v>397</v>
      </c>
    </row>
    <row r="22" spans="1:256" ht="13.5" thickBot="1" x14ac:dyDescent="0.25">
      <c r="A22" s="100" t="s">
        <v>398</v>
      </c>
      <c r="B22" s="124" t="s">
        <v>399</v>
      </c>
      <c r="C22" s="124" t="s">
        <v>400</v>
      </c>
      <c r="D22" s="102">
        <v>4</v>
      </c>
      <c r="E22" s="102">
        <v>5</v>
      </c>
      <c r="F22" s="102">
        <v>6</v>
      </c>
      <c r="G22" s="102">
        <v>7</v>
      </c>
      <c r="H22" s="102">
        <v>8</v>
      </c>
      <c r="I22" s="143">
        <v>9</v>
      </c>
      <c r="J22" s="102">
        <v>10</v>
      </c>
      <c r="K22" s="102">
        <v>11</v>
      </c>
      <c r="L22" s="102">
        <v>12</v>
      </c>
      <c r="M22" s="102">
        <v>13</v>
      </c>
      <c r="N22" s="103">
        <v>14</v>
      </c>
      <c r="O22" s="102">
        <v>15</v>
      </c>
    </row>
    <row r="23" spans="1:256" s="7" customFormat="1" ht="28.5" x14ac:dyDescent="0.2">
      <c r="A23" s="399" t="s">
        <v>4</v>
      </c>
      <c r="B23" s="125"/>
      <c r="C23" s="126"/>
      <c r="D23" s="397" t="s">
        <v>5</v>
      </c>
      <c r="E23" s="106"/>
      <c r="F23" s="106"/>
      <c r="H23" s="128" t="s">
        <v>6</v>
      </c>
      <c r="I23" s="150"/>
      <c r="J23" s="104"/>
      <c r="K23" s="105"/>
      <c r="L23" s="132"/>
      <c r="M23" s="132"/>
      <c r="N23" s="132"/>
      <c r="O23" s="132"/>
      <c r="P23" s="107" t="s">
        <v>7</v>
      </c>
      <c r="Q23" s="108"/>
      <c r="R23" s="391" t="s">
        <v>8</v>
      </c>
      <c r="S23" s="392"/>
      <c r="T23" s="391" t="s">
        <v>9</v>
      </c>
      <c r="U23" s="392"/>
      <c r="V23" s="393" t="s">
        <v>10</v>
      </c>
      <c r="W23" s="394"/>
      <c r="X23" s="395" t="s">
        <v>11</v>
      </c>
      <c r="Y23" s="6"/>
      <c r="Z23" s="6"/>
      <c r="AA23" s="6"/>
      <c r="AB23" s="6"/>
      <c r="AC23" s="6"/>
      <c r="AD23" s="6"/>
      <c r="AE23" s="6"/>
    </row>
    <row r="24" spans="1:256" s="7" customFormat="1" ht="114" x14ac:dyDescent="0.2">
      <c r="A24" s="400"/>
      <c r="B24" s="125"/>
      <c r="C24" s="126"/>
      <c r="D24" s="398"/>
      <c r="E24" s="8"/>
      <c r="F24" s="8"/>
      <c r="G24" s="8" t="s">
        <v>12</v>
      </c>
      <c r="H24" s="8" t="s">
        <v>13</v>
      </c>
      <c r="I24" s="144"/>
      <c r="J24" s="8"/>
      <c r="K24" s="8" t="s">
        <v>14</v>
      </c>
      <c r="L24" s="8"/>
      <c r="M24" s="8"/>
      <c r="N24" s="8"/>
      <c r="O24" s="8"/>
      <c r="P24" s="8" t="s">
        <v>13</v>
      </c>
      <c r="Q24" s="8" t="s">
        <v>14</v>
      </c>
      <c r="R24" s="8" t="s">
        <v>13</v>
      </c>
      <c r="S24" s="8" t="s">
        <v>15</v>
      </c>
      <c r="T24" s="8" t="s">
        <v>13</v>
      </c>
      <c r="U24" s="8" t="s">
        <v>15</v>
      </c>
      <c r="V24" s="8" t="s">
        <v>13</v>
      </c>
      <c r="W24" s="8" t="s">
        <v>15</v>
      </c>
      <c r="X24" s="396"/>
      <c r="Y24" s="6"/>
      <c r="Z24" s="6"/>
      <c r="AA24" s="6"/>
      <c r="AB24" s="6"/>
      <c r="AC24" s="6"/>
      <c r="AD24" s="6"/>
      <c r="AE24" s="6"/>
    </row>
    <row r="25" spans="1:256" s="164" customFormat="1" ht="28.5" x14ac:dyDescent="0.2">
      <c r="A25" s="140" t="s">
        <v>398</v>
      </c>
      <c r="B25" s="156"/>
      <c r="C25" s="157"/>
      <c r="D25" s="158" t="s">
        <v>451</v>
      </c>
      <c r="E25" s="158"/>
      <c r="F25" s="159"/>
      <c r="G25" s="160"/>
      <c r="H25" s="160"/>
      <c r="I25" s="161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3"/>
      <c r="Y25" s="140"/>
      <c r="Z25" s="156"/>
      <c r="AA25" s="157"/>
      <c r="AB25" s="158"/>
      <c r="AC25" s="158"/>
      <c r="AD25" s="159"/>
      <c r="AE25" s="160"/>
      <c r="AF25" s="160"/>
      <c r="AG25" s="162"/>
      <c r="AH25" s="162"/>
      <c r="AI25" s="162"/>
      <c r="AJ25" s="162"/>
      <c r="AK25" s="162"/>
      <c r="AL25" s="162"/>
      <c r="AM25" s="162"/>
      <c r="AN25" s="162"/>
      <c r="AO25" s="162"/>
      <c r="AP25" s="162"/>
      <c r="AQ25" s="162"/>
      <c r="AR25" s="162"/>
      <c r="AS25" s="162"/>
      <c r="AT25" s="162"/>
      <c r="AU25" s="162"/>
      <c r="AV25" s="163"/>
      <c r="AW25" s="140"/>
      <c r="AX25" s="156"/>
      <c r="AY25" s="157"/>
      <c r="AZ25" s="158"/>
      <c r="BA25" s="158"/>
      <c r="BB25" s="159"/>
      <c r="BC25" s="160"/>
      <c r="BD25" s="160"/>
      <c r="BE25" s="162"/>
      <c r="BF25" s="162"/>
      <c r="BG25" s="162"/>
      <c r="BH25" s="162"/>
      <c r="BI25" s="162"/>
      <c r="BJ25" s="162"/>
      <c r="BK25" s="162"/>
      <c r="BL25" s="162"/>
      <c r="BM25" s="162"/>
      <c r="BN25" s="162"/>
      <c r="BO25" s="162"/>
      <c r="BP25" s="162"/>
      <c r="BQ25" s="162"/>
      <c r="BR25" s="162"/>
      <c r="BS25" s="162"/>
      <c r="BT25" s="163"/>
      <c r="BU25" s="140"/>
      <c r="BV25" s="156"/>
      <c r="BW25" s="157"/>
      <c r="BX25" s="158"/>
      <c r="BY25" s="158"/>
      <c r="BZ25" s="159"/>
      <c r="CA25" s="160"/>
      <c r="CB25" s="160"/>
      <c r="CC25" s="162"/>
      <c r="CD25" s="162"/>
      <c r="CE25" s="162"/>
      <c r="CF25" s="162"/>
      <c r="CG25" s="162"/>
      <c r="CH25" s="162"/>
      <c r="CI25" s="162"/>
      <c r="CJ25" s="162"/>
      <c r="CK25" s="162"/>
      <c r="CL25" s="162"/>
      <c r="CM25" s="162"/>
      <c r="CN25" s="162"/>
      <c r="CO25" s="162"/>
      <c r="CP25" s="162"/>
      <c r="CQ25" s="162"/>
      <c r="CR25" s="163"/>
      <c r="CS25" s="140"/>
      <c r="CT25" s="156"/>
      <c r="CU25" s="157"/>
      <c r="CV25" s="158"/>
      <c r="CW25" s="158"/>
      <c r="CX25" s="159"/>
      <c r="CY25" s="160"/>
      <c r="CZ25" s="160"/>
      <c r="DA25" s="162"/>
      <c r="DB25" s="162"/>
      <c r="DC25" s="162"/>
      <c r="DD25" s="162"/>
      <c r="DE25" s="162"/>
      <c r="DF25" s="162"/>
      <c r="DG25" s="162"/>
      <c r="DH25" s="162"/>
      <c r="DI25" s="162"/>
      <c r="DJ25" s="162"/>
      <c r="DK25" s="162"/>
      <c r="DL25" s="162"/>
      <c r="DM25" s="162"/>
      <c r="DN25" s="162"/>
      <c r="DO25" s="162"/>
      <c r="DP25" s="163"/>
      <c r="DQ25" s="140"/>
      <c r="DR25" s="156"/>
      <c r="DS25" s="157"/>
      <c r="DT25" s="158"/>
      <c r="DU25" s="158"/>
      <c r="DV25" s="159"/>
      <c r="DW25" s="160"/>
      <c r="DX25" s="160"/>
      <c r="DY25" s="162"/>
      <c r="DZ25" s="162"/>
      <c r="EA25" s="162"/>
      <c r="EB25" s="162"/>
      <c r="EC25" s="162"/>
      <c r="ED25" s="162"/>
      <c r="EE25" s="162"/>
      <c r="EF25" s="162"/>
      <c r="EG25" s="162"/>
      <c r="EH25" s="162"/>
      <c r="EI25" s="162"/>
      <c r="EJ25" s="162"/>
      <c r="EK25" s="162"/>
      <c r="EL25" s="162"/>
      <c r="EM25" s="162"/>
      <c r="EN25" s="163"/>
      <c r="EO25" s="140"/>
      <c r="EP25" s="156"/>
      <c r="EQ25" s="157"/>
      <c r="ER25" s="158"/>
      <c r="ES25" s="158"/>
      <c r="ET25" s="159"/>
      <c r="EU25" s="160"/>
      <c r="EV25" s="160"/>
      <c r="EW25" s="162"/>
      <c r="EX25" s="162"/>
      <c r="EY25" s="162"/>
      <c r="EZ25" s="162"/>
      <c r="FA25" s="162"/>
      <c r="FB25" s="162"/>
      <c r="FC25" s="162"/>
      <c r="FD25" s="162"/>
      <c r="FE25" s="162"/>
      <c r="FF25" s="162"/>
      <c r="FG25" s="162"/>
      <c r="FH25" s="162"/>
      <c r="FI25" s="162"/>
      <c r="FJ25" s="162"/>
      <c r="FK25" s="162"/>
      <c r="FL25" s="163"/>
      <c r="FM25" s="140"/>
      <c r="FN25" s="156"/>
      <c r="FO25" s="157"/>
      <c r="FP25" s="158"/>
      <c r="FQ25" s="158"/>
      <c r="FR25" s="159"/>
      <c r="FS25" s="160"/>
      <c r="FT25" s="160"/>
      <c r="FU25" s="162"/>
      <c r="FV25" s="162"/>
      <c r="FW25" s="162"/>
      <c r="FX25" s="162"/>
      <c r="FY25" s="162"/>
      <c r="FZ25" s="162"/>
      <c r="GA25" s="162"/>
      <c r="GB25" s="162"/>
      <c r="GC25" s="162"/>
      <c r="GD25" s="162"/>
      <c r="GE25" s="162"/>
      <c r="GF25" s="162"/>
      <c r="GG25" s="162"/>
      <c r="GH25" s="162"/>
      <c r="GI25" s="162"/>
      <c r="GJ25" s="163"/>
      <c r="GK25" s="140"/>
      <c r="GL25" s="156"/>
      <c r="GM25" s="157"/>
      <c r="GN25" s="158"/>
      <c r="GO25" s="158"/>
      <c r="GP25" s="159"/>
      <c r="GQ25" s="160"/>
      <c r="GR25" s="160"/>
      <c r="GS25" s="162"/>
      <c r="GT25" s="162"/>
      <c r="GU25" s="162"/>
      <c r="GV25" s="162"/>
      <c r="GW25" s="162"/>
      <c r="GX25" s="162"/>
      <c r="GY25" s="162"/>
      <c r="GZ25" s="162"/>
      <c r="HA25" s="162"/>
      <c r="HB25" s="162"/>
      <c r="HC25" s="162"/>
      <c r="HD25" s="162"/>
      <c r="HE25" s="162"/>
      <c r="HF25" s="162"/>
      <c r="HG25" s="162"/>
      <c r="HH25" s="163"/>
      <c r="HI25" s="140"/>
      <c r="HJ25" s="156"/>
      <c r="HK25" s="157"/>
      <c r="HL25" s="158"/>
      <c r="HM25" s="158"/>
      <c r="HN25" s="159"/>
      <c r="HO25" s="160"/>
      <c r="HP25" s="160"/>
      <c r="HQ25" s="162"/>
      <c r="HR25" s="162"/>
      <c r="HS25" s="162"/>
      <c r="HT25" s="162"/>
      <c r="HU25" s="162"/>
      <c r="HV25" s="162"/>
      <c r="HW25" s="162"/>
      <c r="HX25" s="162"/>
      <c r="HY25" s="162"/>
      <c r="HZ25" s="162"/>
      <c r="IA25" s="162"/>
      <c r="IB25" s="162"/>
      <c r="IC25" s="162"/>
      <c r="ID25" s="162"/>
      <c r="IE25" s="162"/>
      <c r="IF25" s="163"/>
      <c r="IG25" s="140"/>
      <c r="IH25" s="156"/>
      <c r="II25" s="157"/>
      <c r="IJ25" s="158"/>
      <c r="IK25" s="158"/>
      <c r="IL25" s="159"/>
      <c r="IM25" s="160"/>
      <c r="IN25" s="160"/>
      <c r="IO25" s="162"/>
      <c r="IP25" s="162"/>
      <c r="IQ25" s="162"/>
      <c r="IR25" s="162"/>
      <c r="IS25" s="162"/>
      <c r="IT25" s="162"/>
      <c r="IU25" s="162"/>
      <c r="IV25" s="162"/>
    </row>
    <row r="26" spans="1:256" s="141" customFormat="1" ht="45" x14ac:dyDescent="0.25">
      <c r="A26" s="138" t="s">
        <v>453</v>
      </c>
      <c r="B26" s="165" t="s">
        <v>401</v>
      </c>
      <c r="C26" s="110">
        <v>6210010</v>
      </c>
      <c r="D26" s="80" t="s">
        <v>16</v>
      </c>
      <c r="E26" s="80"/>
      <c r="F26" s="11">
        <v>421</v>
      </c>
      <c r="G26" s="81" t="s">
        <v>458</v>
      </c>
      <c r="H26" s="24">
        <v>94</v>
      </c>
      <c r="I26" s="151">
        <v>98401</v>
      </c>
      <c r="J26" s="83" t="s">
        <v>429</v>
      </c>
      <c r="K26" s="83">
        <v>1206590</v>
      </c>
      <c r="L26" s="166" t="s">
        <v>7</v>
      </c>
      <c r="M26" s="166">
        <v>41244</v>
      </c>
      <c r="N26" s="83"/>
      <c r="O26" s="83"/>
      <c r="P26" s="83">
        <v>94</v>
      </c>
      <c r="Q26" s="83">
        <v>1206590</v>
      </c>
      <c r="R26" s="83"/>
      <c r="S26" s="83"/>
      <c r="T26" s="83"/>
      <c r="U26" s="83"/>
      <c r="V26" s="83"/>
      <c r="W26" s="83"/>
      <c r="X26" s="167"/>
      <c r="Y26" s="168"/>
      <c r="Z26" s="168"/>
      <c r="AA26" s="168"/>
      <c r="AB26" s="168"/>
      <c r="AC26" s="168"/>
      <c r="AD26" s="168"/>
      <c r="AE26" s="168"/>
    </row>
    <row r="27" spans="1:256" s="141" customFormat="1" ht="45" x14ac:dyDescent="0.25">
      <c r="A27" s="138" t="s">
        <v>452</v>
      </c>
      <c r="B27" s="165" t="s">
        <v>401</v>
      </c>
      <c r="C27" s="110">
        <v>6210010</v>
      </c>
      <c r="D27" s="80" t="s">
        <v>19</v>
      </c>
      <c r="E27" s="80"/>
      <c r="F27" s="11">
        <v>421</v>
      </c>
      <c r="G27" s="81" t="s">
        <v>458</v>
      </c>
      <c r="H27" s="81">
        <v>145</v>
      </c>
      <c r="I27" s="151">
        <v>98401</v>
      </c>
      <c r="J27" s="83" t="s">
        <v>429</v>
      </c>
      <c r="K27" s="83">
        <v>2360180</v>
      </c>
      <c r="L27" s="166" t="s">
        <v>7</v>
      </c>
      <c r="M27" s="166">
        <v>41244</v>
      </c>
      <c r="N27" s="83"/>
      <c r="O27" s="83"/>
      <c r="P27" s="83">
        <v>145</v>
      </c>
      <c r="Q27" s="83">
        <v>2360180</v>
      </c>
      <c r="R27" s="83"/>
      <c r="S27" s="83"/>
      <c r="T27" s="83"/>
      <c r="U27" s="83"/>
      <c r="V27" s="83"/>
      <c r="W27" s="83"/>
      <c r="X27" s="167"/>
      <c r="Y27" s="168"/>
      <c r="Z27" s="168"/>
      <c r="AA27" s="168"/>
      <c r="AB27" s="168"/>
      <c r="AC27" s="168"/>
      <c r="AD27" s="168"/>
      <c r="AE27" s="168"/>
    </row>
    <row r="28" spans="1:256" s="164" customFormat="1" ht="28.5" x14ac:dyDescent="0.2">
      <c r="A28" s="140" t="s">
        <v>399</v>
      </c>
      <c r="B28" s="156"/>
      <c r="C28" s="157"/>
      <c r="D28" s="158" t="s">
        <v>20</v>
      </c>
      <c r="E28" s="158"/>
      <c r="F28" s="159"/>
      <c r="G28" s="160"/>
      <c r="H28" s="160"/>
      <c r="I28" s="161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3"/>
      <c r="Y28" s="140"/>
      <c r="Z28" s="156"/>
      <c r="AA28" s="157"/>
      <c r="AB28" s="158"/>
      <c r="AC28" s="158"/>
      <c r="AD28" s="159"/>
      <c r="AE28" s="160"/>
      <c r="AF28" s="160"/>
      <c r="AG28" s="162"/>
      <c r="AH28" s="162"/>
      <c r="AI28" s="162"/>
      <c r="AJ28" s="162"/>
      <c r="AK28" s="162"/>
      <c r="AL28" s="162"/>
      <c r="AM28" s="162"/>
      <c r="AN28" s="162"/>
      <c r="AO28" s="162"/>
      <c r="AP28" s="162"/>
      <c r="AQ28" s="162"/>
      <c r="AR28" s="162"/>
      <c r="AS28" s="162"/>
      <c r="AT28" s="162"/>
      <c r="AU28" s="162"/>
      <c r="AV28" s="163"/>
      <c r="AW28" s="140"/>
      <c r="AX28" s="156"/>
      <c r="AY28" s="157"/>
      <c r="AZ28" s="158"/>
      <c r="BA28" s="158"/>
      <c r="BB28" s="159"/>
      <c r="BC28" s="160"/>
      <c r="BD28" s="160"/>
      <c r="BE28" s="162"/>
      <c r="BF28" s="162"/>
      <c r="BG28" s="162"/>
      <c r="BH28" s="162"/>
      <c r="BI28" s="162"/>
      <c r="BJ28" s="162"/>
      <c r="BK28" s="162"/>
      <c r="BL28" s="162"/>
      <c r="BM28" s="162"/>
      <c r="BN28" s="162"/>
      <c r="BO28" s="162"/>
      <c r="BP28" s="162"/>
      <c r="BQ28" s="162"/>
      <c r="BR28" s="162"/>
      <c r="BS28" s="162"/>
      <c r="BT28" s="163"/>
      <c r="BU28" s="140"/>
      <c r="BV28" s="156"/>
      <c r="BW28" s="157"/>
      <c r="BX28" s="158"/>
      <c r="BY28" s="158"/>
      <c r="BZ28" s="159"/>
      <c r="CA28" s="160"/>
      <c r="CB28" s="160"/>
      <c r="CC28" s="162"/>
      <c r="CD28" s="162"/>
      <c r="CE28" s="162"/>
      <c r="CF28" s="162"/>
      <c r="CG28" s="162"/>
      <c r="CH28" s="162"/>
      <c r="CI28" s="162"/>
      <c r="CJ28" s="162"/>
      <c r="CK28" s="162"/>
      <c r="CL28" s="162"/>
      <c r="CM28" s="162"/>
      <c r="CN28" s="162"/>
      <c r="CO28" s="162"/>
      <c r="CP28" s="162"/>
      <c r="CQ28" s="162"/>
      <c r="CR28" s="163"/>
      <c r="CS28" s="140"/>
      <c r="CT28" s="156"/>
      <c r="CU28" s="157"/>
      <c r="CV28" s="158"/>
      <c r="CW28" s="158"/>
      <c r="CX28" s="159"/>
      <c r="CY28" s="160"/>
      <c r="CZ28" s="160"/>
      <c r="DA28" s="162"/>
      <c r="DB28" s="162"/>
      <c r="DC28" s="162"/>
      <c r="DD28" s="162"/>
      <c r="DE28" s="162"/>
      <c r="DF28" s="162"/>
      <c r="DG28" s="162"/>
      <c r="DH28" s="162"/>
      <c r="DI28" s="162"/>
      <c r="DJ28" s="162"/>
      <c r="DK28" s="162"/>
      <c r="DL28" s="162"/>
      <c r="DM28" s="162"/>
      <c r="DN28" s="162"/>
      <c r="DO28" s="162"/>
      <c r="DP28" s="163"/>
      <c r="DQ28" s="140"/>
      <c r="DR28" s="156"/>
      <c r="DS28" s="157"/>
      <c r="DT28" s="158"/>
      <c r="DU28" s="158"/>
      <c r="DV28" s="159"/>
      <c r="DW28" s="160"/>
      <c r="DX28" s="160"/>
      <c r="DY28" s="162"/>
      <c r="DZ28" s="162"/>
      <c r="EA28" s="162"/>
      <c r="EB28" s="162"/>
      <c r="EC28" s="162"/>
      <c r="ED28" s="162"/>
      <c r="EE28" s="162"/>
      <c r="EF28" s="162"/>
      <c r="EG28" s="162"/>
      <c r="EH28" s="162"/>
      <c r="EI28" s="162"/>
      <c r="EJ28" s="162"/>
      <c r="EK28" s="162"/>
      <c r="EL28" s="162"/>
      <c r="EM28" s="162"/>
      <c r="EN28" s="163"/>
      <c r="EO28" s="140"/>
      <c r="EP28" s="156"/>
      <c r="EQ28" s="157"/>
      <c r="ER28" s="158"/>
      <c r="ES28" s="158"/>
      <c r="ET28" s="159"/>
      <c r="EU28" s="160"/>
      <c r="EV28" s="160"/>
      <c r="EW28" s="162"/>
      <c r="EX28" s="162"/>
      <c r="EY28" s="162"/>
      <c r="EZ28" s="162"/>
      <c r="FA28" s="162"/>
      <c r="FB28" s="162"/>
      <c r="FC28" s="162"/>
      <c r="FD28" s="162"/>
      <c r="FE28" s="162"/>
      <c r="FF28" s="162"/>
      <c r="FG28" s="162"/>
      <c r="FH28" s="162"/>
      <c r="FI28" s="162"/>
      <c r="FJ28" s="162"/>
      <c r="FK28" s="162"/>
      <c r="FL28" s="163"/>
      <c r="FM28" s="140"/>
      <c r="FN28" s="156"/>
      <c r="FO28" s="157"/>
      <c r="FP28" s="158"/>
      <c r="FQ28" s="158"/>
      <c r="FR28" s="159"/>
      <c r="FS28" s="160"/>
      <c r="FT28" s="160"/>
      <c r="FU28" s="162"/>
      <c r="FV28" s="162"/>
      <c r="FW28" s="162"/>
      <c r="FX28" s="162"/>
      <c r="FY28" s="162"/>
      <c r="FZ28" s="162"/>
      <c r="GA28" s="162"/>
      <c r="GB28" s="162"/>
      <c r="GC28" s="162"/>
      <c r="GD28" s="162"/>
      <c r="GE28" s="162"/>
      <c r="GF28" s="162"/>
      <c r="GG28" s="162"/>
      <c r="GH28" s="162"/>
      <c r="GI28" s="162"/>
      <c r="GJ28" s="163"/>
      <c r="GK28" s="140"/>
      <c r="GL28" s="156"/>
      <c r="GM28" s="157"/>
      <c r="GN28" s="158"/>
      <c r="GO28" s="158"/>
      <c r="GP28" s="159"/>
      <c r="GQ28" s="160"/>
      <c r="GR28" s="160"/>
      <c r="GS28" s="162"/>
      <c r="GT28" s="162"/>
      <c r="GU28" s="162"/>
      <c r="GV28" s="162"/>
      <c r="GW28" s="162"/>
      <c r="GX28" s="162"/>
      <c r="GY28" s="162"/>
      <c r="GZ28" s="162"/>
      <c r="HA28" s="162"/>
      <c r="HB28" s="162"/>
      <c r="HC28" s="162"/>
      <c r="HD28" s="162"/>
      <c r="HE28" s="162"/>
      <c r="HF28" s="162"/>
      <c r="HG28" s="162"/>
      <c r="HH28" s="163"/>
      <c r="HI28" s="140"/>
      <c r="HJ28" s="156"/>
      <c r="HK28" s="157"/>
      <c r="HL28" s="158"/>
      <c r="HM28" s="158"/>
      <c r="HN28" s="159"/>
      <c r="HO28" s="160"/>
      <c r="HP28" s="160"/>
      <c r="HQ28" s="162"/>
      <c r="HR28" s="162"/>
      <c r="HS28" s="162"/>
      <c r="HT28" s="162"/>
      <c r="HU28" s="162"/>
      <c r="HV28" s="162"/>
      <c r="HW28" s="162"/>
      <c r="HX28" s="162"/>
      <c r="HY28" s="162"/>
      <c r="HZ28" s="162"/>
      <c r="IA28" s="162"/>
      <c r="IB28" s="162"/>
      <c r="IC28" s="162"/>
      <c r="ID28" s="162"/>
      <c r="IE28" s="162"/>
      <c r="IF28" s="163"/>
      <c r="IG28" s="140"/>
      <c r="IH28" s="156"/>
      <c r="II28" s="157"/>
      <c r="IJ28" s="158"/>
      <c r="IK28" s="158"/>
      <c r="IL28" s="159"/>
      <c r="IM28" s="160"/>
      <c r="IN28" s="160"/>
      <c r="IO28" s="162"/>
      <c r="IP28" s="162"/>
      <c r="IQ28" s="162"/>
      <c r="IR28" s="162"/>
      <c r="IS28" s="162"/>
      <c r="IT28" s="162"/>
      <c r="IU28" s="162"/>
      <c r="IV28" s="162"/>
    </row>
    <row r="29" spans="1:256" s="141" customFormat="1" ht="45" x14ac:dyDescent="0.25">
      <c r="A29" s="138">
        <v>3.1</v>
      </c>
      <c r="B29" s="165" t="s">
        <v>413</v>
      </c>
      <c r="C29" s="110">
        <v>7241000</v>
      </c>
      <c r="D29" s="80" t="s">
        <v>21</v>
      </c>
      <c r="E29" s="80"/>
      <c r="F29" s="11">
        <v>362</v>
      </c>
      <c r="G29" s="81" t="s">
        <v>22</v>
      </c>
      <c r="H29" s="81">
        <v>12</v>
      </c>
      <c r="I29" s="151">
        <v>98401</v>
      </c>
      <c r="J29" s="83" t="s">
        <v>429</v>
      </c>
      <c r="K29" s="83">
        <v>770616</v>
      </c>
      <c r="L29" s="166" t="s">
        <v>449</v>
      </c>
      <c r="M29" s="166">
        <v>41244</v>
      </c>
      <c r="N29" s="83"/>
      <c r="O29" s="83"/>
      <c r="P29" s="83">
        <v>12</v>
      </c>
      <c r="Q29" s="83">
        <v>753947</v>
      </c>
      <c r="R29" s="83">
        <v>9</v>
      </c>
      <c r="S29" s="83">
        <v>16669</v>
      </c>
      <c r="T29" s="83"/>
      <c r="U29" s="83"/>
      <c r="V29" s="83"/>
      <c r="W29" s="83"/>
      <c r="X29" s="167"/>
      <c r="Y29" s="168"/>
      <c r="Z29" s="168"/>
      <c r="AA29" s="168"/>
      <c r="AB29" s="168"/>
      <c r="AC29" s="168"/>
      <c r="AD29" s="168"/>
      <c r="AE29" s="168"/>
    </row>
    <row r="30" spans="1:256" s="141" customFormat="1" ht="15" customHeight="1" x14ac:dyDescent="0.25">
      <c r="A30" s="138">
        <v>3.2</v>
      </c>
      <c r="B30" s="165" t="s">
        <v>402</v>
      </c>
      <c r="C30" s="110">
        <v>7412040</v>
      </c>
      <c r="D30" s="80" t="s">
        <v>23</v>
      </c>
      <c r="E30" s="80"/>
      <c r="F30" s="110">
        <v>796</v>
      </c>
      <c r="G30" s="81" t="s">
        <v>24</v>
      </c>
      <c r="H30" s="129">
        <v>1</v>
      </c>
      <c r="I30" s="151">
        <v>98401</v>
      </c>
      <c r="J30" s="83" t="s">
        <v>429</v>
      </c>
      <c r="K30" s="26">
        <v>550000</v>
      </c>
      <c r="L30" s="166" t="s">
        <v>10</v>
      </c>
      <c r="M30" s="166">
        <v>41245</v>
      </c>
      <c r="N30" s="26"/>
      <c r="O30" s="26"/>
      <c r="P30" s="24"/>
      <c r="Q30" s="24"/>
      <c r="R30" s="83"/>
      <c r="S30" s="27"/>
      <c r="T30" s="83"/>
      <c r="U30" s="83"/>
      <c r="V30" s="24">
        <v>1</v>
      </c>
      <c r="W30" s="27">
        <v>550000</v>
      </c>
      <c r="X30" s="26">
        <v>320000</v>
      </c>
      <c r="Y30" s="168"/>
      <c r="Z30" s="168"/>
      <c r="AA30" s="168"/>
      <c r="AB30" s="168"/>
      <c r="AC30" s="168"/>
      <c r="AD30" s="168"/>
      <c r="AE30" s="168"/>
    </row>
    <row r="31" spans="1:256" s="141" customFormat="1" x14ac:dyDescent="0.25">
      <c r="A31" s="138">
        <v>3.3</v>
      </c>
      <c r="B31" s="165" t="s">
        <v>459</v>
      </c>
      <c r="C31" s="110">
        <v>7410000</v>
      </c>
      <c r="D31" s="80" t="s">
        <v>25</v>
      </c>
      <c r="E31" s="80"/>
      <c r="F31" s="110">
        <v>796</v>
      </c>
      <c r="G31" s="81" t="s">
        <v>24</v>
      </c>
      <c r="H31" s="129">
        <v>1</v>
      </c>
      <c r="I31" s="151">
        <v>98401</v>
      </c>
      <c r="J31" s="83" t="s">
        <v>429</v>
      </c>
      <c r="K31" s="26">
        <v>300000</v>
      </c>
      <c r="L31" s="166" t="s">
        <v>10</v>
      </c>
      <c r="M31" s="166">
        <v>41245</v>
      </c>
      <c r="N31" s="133"/>
      <c r="O31" s="133"/>
      <c r="P31" s="82"/>
      <c r="Q31" s="27"/>
      <c r="R31" s="83"/>
      <c r="S31" s="27"/>
      <c r="T31" s="83"/>
      <c r="U31" s="83"/>
      <c r="V31" s="24">
        <v>1</v>
      </c>
      <c r="W31" s="24">
        <v>300000</v>
      </c>
      <c r="X31" s="26"/>
      <c r="Y31" s="168"/>
      <c r="Z31" s="168"/>
      <c r="AA31" s="168"/>
      <c r="AB31" s="168"/>
      <c r="AC31" s="168"/>
      <c r="AD31" s="168"/>
      <c r="AE31" s="168"/>
    </row>
    <row r="32" spans="1:256" s="141" customFormat="1" ht="30" x14ac:dyDescent="0.25">
      <c r="A32" s="138">
        <v>3.4</v>
      </c>
      <c r="B32" s="165" t="s">
        <v>460</v>
      </c>
      <c r="C32" s="110">
        <v>7490000</v>
      </c>
      <c r="D32" s="80" t="s">
        <v>336</v>
      </c>
      <c r="E32" s="80"/>
      <c r="F32" s="110">
        <v>796</v>
      </c>
      <c r="G32" s="81" t="s">
        <v>24</v>
      </c>
      <c r="H32" s="129">
        <v>3</v>
      </c>
      <c r="I32" s="151">
        <v>98401</v>
      </c>
      <c r="J32" s="83" t="s">
        <v>429</v>
      </c>
      <c r="K32" s="26">
        <v>54000</v>
      </c>
      <c r="L32" s="166" t="s">
        <v>9</v>
      </c>
      <c r="M32" s="166">
        <v>41183</v>
      </c>
      <c r="N32" s="133"/>
      <c r="O32" s="133"/>
      <c r="P32" s="82"/>
      <c r="Q32" s="27"/>
      <c r="R32" s="83"/>
      <c r="S32" s="27"/>
      <c r="T32" s="83">
        <v>3</v>
      </c>
      <c r="U32" s="83">
        <v>54000</v>
      </c>
      <c r="V32" s="24"/>
      <c r="W32" s="24"/>
      <c r="X32" s="26"/>
      <c r="Y32" s="168"/>
      <c r="Z32" s="168"/>
      <c r="AA32" s="168"/>
      <c r="AB32" s="168"/>
      <c r="AC32" s="168"/>
      <c r="AD32" s="168"/>
      <c r="AE32" s="168"/>
    </row>
    <row r="33" spans="1:256" s="141" customFormat="1" ht="30" x14ac:dyDescent="0.25">
      <c r="A33" s="138">
        <v>3.5</v>
      </c>
      <c r="B33" s="165" t="s">
        <v>461</v>
      </c>
      <c r="C33" s="110">
        <v>7241000</v>
      </c>
      <c r="D33" s="80" t="s">
        <v>358</v>
      </c>
      <c r="E33" s="80"/>
      <c r="F33" s="114"/>
      <c r="G33" s="81"/>
      <c r="H33" s="129">
        <v>2</v>
      </c>
      <c r="I33" s="151">
        <v>98401</v>
      </c>
      <c r="J33" s="83" t="s">
        <v>429</v>
      </c>
      <c r="K33" s="26">
        <v>58711</v>
      </c>
      <c r="L33" s="166" t="s">
        <v>9</v>
      </c>
      <c r="M33" s="166">
        <v>41184</v>
      </c>
      <c r="N33" s="133"/>
      <c r="O33" s="133"/>
      <c r="P33" s="82"/>
      <c r="Q33" s="27"/>
      <c r="R33" s="83"/>
      <c r="S33" s="27"/>
      <c r="T33" s="83">
        <v>2</v>
      </c>
      <c r="U33" s="83">
        <v>58711</v>
      </c>
      <c r="V33" s="24"/>
      <c r="W33" s="24"/>
      <c r="X33" s="26"/>
      <c r="Y33" s="168"/>
      <c r="Z33" s="168"/>
      <c r="AA33" s="168"/>
      <c r="AB33" s="168"/>
      <c r="AC33" s="168"/>
      <c r="AD33" s="168"/>
      <c r="AE33" s="168"/>
    </row>
    <row r="34" spans="1:256" s="141" customFormat="1" ht="30" x14ac:dyDescent="0.25">
      <c r="A34" s="138">
        <v>3.6</v>
      </c>
      <c r="B34" s="165" t="s">
        <v>462</v>
      </c>
      <c r="C34" s="110">
        <v>7490000</v>
      </c>
      <c r="D34" s="80" t="s">
        <v>359</v>
      </c>
      <c r="E34" s="80"/>
      <c r="F34" s="114"/>
      <c r="G34" s="81"/>
      <c r="H34" s="129"/>
      <c r="I34" s="151">
        <v>98401</v>
      </c>
      <c r="J34" s="83" t="s">
        <v>429</v>
      </c>
      <c r="K34" s="26"/>
      <c r="L34" s="166" t="s">
        <v>8</v>
      </c>
      <c r="M34" s="166">
        <v>41061</v>
      </c>
      <c r="N34" s="133"/>
      <c r="O34" s="133"/>
      <c r="P34" s="82"/>
      <c r="Q34" s="27"/>
      <c r="R34" s="83">
        <v>1</v>
      </c>
      <c r="S34" s="27">
        <v>94800</v>
      </c>
      <c r="T34" s="83"/>
      <c r="U34" s="83"/>
      <c r="V34" s="24"/>
      <c r="W34" s="24"/>
      <c r="X34" s="26"/>
      <c r="Y34" s="168"/>
      <c r="Z34" s="168"/>
      <c r="AA34" s="168"/>
      <c r="AB34" s="168"/>
      <c r="AC34" s="168"/>
      <c r="AD34" s="168"/>
      <c r="AE34" s="168"/>
    </row>
    <row r="35" spans="1:256" s="141" customFormat="1" ht="30" x14ac:dyDescent="0.25">
      <c r="A35" s="138">
        <v>3.7</v>
      </c>
      <c r="B35" s="165" t="s">
        <v>463</v>
      </c>
      <c r="C35" s="110">
        <v>7490000</v>
      </c>
      <c r="D35" s="80" t="s">
        <v>357</v>
      </c>
      <c r="E35" s="80"/>
      <c r="F35" s="114"/>
      <c r="G35" s="81"/>
      <c r="H35" s="129">
        <v>4</v>
      </c>
      <c r="I35" s="151">
        <v>98401</v>
      </c>
      <c r="J35" s="83" t="s">
        <v>429</v>
      </c>
      <c r="K35" s="26">
        <v>27730</v>
      </c>
      <c r="L35" s="166" t="s">
        <v>9</v>
      </c>
      <c r="M35" s="166">
        <v>41184</v>
      </c>
      <c r="N35" s="133"/>
      <c r="O35" s="133"/>
      <c r="P35" s="82"/>
      <c r="Q35" s="27"/>
      <c r="R35" s="83"/>
      <c r="S35" s="27"/>
      <c r="T35" s="83">
        <v>4</v>
      </c>
      <c r="U35" s="83">
        <v>27730</v>
      </c>
      <c r="V35" s="24"/>
      <c r="W35" s="24"/>
      <c r="X35" s="26"/>
      <c r="Y35" s="168"/>
      <c r="Z35" s="168"/>
      <c r="AA35" s="168"/>
      <c r="AB35" s="168"/>
      <c r="AC35" s="168"/>
      <c r="AD35" s="168"/>
      <c r="AE35" s="168"/>
    </row>
    <row r="36" spans="1:256" s="141" customFormat="1" x14ac:dyDescent="0.25">
      <c r="A36" s="138"/>
      <c r="B36" s="165"/>
      <c r="C36" s="110"/>
      <c r="D36" s="80"/>
      <c r="E36" s="80"/>
      <c r="F36" s="114"/>
      <c r="G36" s="81"/>
      <c r="H36" s="81"/>
      <c r="I36" s="169"/>
      <c r="J36" s="83"/>
      <c r="K36" s="170">
        <v>1761057</v>
      </c>
      <c r="L36" s="170"/>
      <c r="M36" s="170"/>
      <c r="N36" s="170"/>
      <c r="O36" s="170"/>
      <c r="P36" s="83"/>
      <c r="Q36" s="170">
        <v>753947</v>
      </c>
      <c r="R36" s="83"/>
      <c r="S36" s="170">
        <v>16669</v>
      </c>
      <c r="T36" s="83"/>
      <c r="U36" s="170">
        <v>140441</v>
      </c>
      <c r="V36" s="83"/>
      <c r="W36" s="170">
        <v>850000</v>
      </c>
      <c r="X36" s="167"/>
      <c r="Y36" s="171"/>
      <c r="Z36" s="168"/>
      <c r="AA36" s="168"/>
      <c r="AB36" s="168"/>
      <c r="AC36" s="168"/>
      <c r="AD36" s="168"/>
      <c r="AE36" s="168"/>
    </row>
    <row r="37" spans="1:256" s="164" customFormat="1" ht="14.25" x14ac:dyDescent="0.2">
      <c r="A37" s="140">
        <v>4</v>
      </c>
      <c r="B37" s="156"/>
      <c r="C37" s="157">
        <v>7523000</v>
      </c>
      <c r="D37" s="158" t="s">
        <v>26</v>
      </c>
      <c r="E37" s="158"/>
      <c r="F37" s="159"/>
      <c r="G37" s="160"/>
      <c r="H37" s="160"/>
      <c r="I37" s="161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3"/>
      <c r="Y37" s="140"/>
      <c r="Z37" s="156"/>
      <c r="AA37" s="157"/>
      <c r="AB37" s="158"/>
      <c r="AC37" s="158"/>
      <c r="AD37" s="159"/>
      <c r="AE37" s="160"/>
      <c r="AF37" s="160"/>
      <c r="AG37" s="162"/>
      <c r="AH37" s="162"/>
      <c r="AI37" s="162"/>
      <c r="AJ37" s="162"/>
      <c r="AK37" s="162"/>
      <c r="AL37" s="162"/>
      <c r="AM37" s="162"/>
      <c r="AN37" s="162"/>
      <c r="AO37" s="162"/>
      <c r="AP37" s="162"/>
      <c r="AQ37" s="162"/>
      <c r="AR37" s="162"/>
      <c r="AS37" s="162"/>
      <c r="AT37" s="162"/>
      <c r="AU37" s="162"/>
      <c r="AV37" s="163"/>
      <c r="AW37" s="140"/>
      <c r="AX37" s="156"/>
      <c r="AY37" s="157"/>
      <c r="AZ37" s="158"/>
      <c r="BA37" s="158"/>
      <c r="BB37" s="159"/>
      <c r="BC37" s="160"/>
      <c r="BD37" s="160"/>
      <c r="BE37" s="162"/>
      <c r="BF37" s="162"/>
      <c r="BG37" s="162"/>
      <c r="BH37" s="162"/>
      <c r="BI37" s="162"/>
      <c r="BJ37" s="162"/>
      <c r="BK37" s="162"/>
      <c r="BL37" s="162"/>
      <c r="BM37" s="162"/>
      <c r="BN37" s="162"/>
      <c r="BO37" s="162"/>
      <c r="BP37" s="162"/>
      <c r="BQ37" s="162"/>
      <c r="BR37" s="162"/>
      <c r="BS37" s="162"/>
      <c r="BT37" s="163"/>
      <c r="BU37" s="140"/>
      <c r="BV37" s="156"/>
      <c r="BW37" s="157"/>
      <c r="BX37" s="158"/>
      <c r="BY37" s="158"/>
      <c r="BZ37" s="159"/>
      <c r="CA37" s="160"/>
      <c r="CB37" s="160"/>
      <c r="CC37" s="162"/>
      <c r="CD37" s="162"/>
      <c r="CE37" s="162"/>
      <c r="CF37" s="162"/>
      <c r="CG37" s="162"/>
      <c r="CH37" s="162"/>
      <c r="CI37" s="162"/>
      <c r="CJ37" s="162"/>
      <c r="CK37" s="162"/>
      <c r="CL37" s="162"/>
      <c r="CM37" s="162"/>
      <c r="CN37" s="162"/>
      <c r="CO37" s="162"/>
      <c r="CP37" s="162"/>
      <c r="CQ37" s="162"/>
      <c r="CR37" s="163"/>
      <c r="CS37" s="140"/>
      <c r="CT37" s="156"/>
      <c r="CU37" s="157"/>
      <c r="CV37" s="158"/>
      <c r="CW37" s="158"/>
      <c r="CX37" s="159"/>
      <c r="CY37" s="160"/>
      <c r="CZ37" s="160"/>
      <c r="DA37" s="162"/>
      <c r="DB37" s="162"/>
      <c r="DC37" s="162"/>
      <c r="DD37" s="162"/>
      <c r="DE37" s="162"/>
      <c r="DF37" s="162"/>
      <c r="DG37" s="162"/>
      <c r="DH37" s="162"/>
      <c r="DI37" s="162"/>
      <c r="DJ37" s="162"/>
      <c r="DK37" s="162"/>
      <c r="DL37" s="162"/>
      <c r="DM37" s="162"/>
      <c r="DN37" s="162"/>
      <c r="DO37" s="162"/>
      <c r="DP37" s="163"/>
      <c r="DQ37" s="140"/>
      <c r="DR37" s="156"/>
      <c r="DS37" s="157"/>
      <c r="DT37" s="158"/>
      <c r="DU37" s="158"/>
      <c r="DV37" s="159"/>
      <c r="DW37" s="160"/>
      <c r="DX37" s="160"/>
      <c r="DY37" s="162"/>
      <c r="DZ37" s="162"/>
      <c r="EA37" s="162"/>
      <c r="EB37" s="162"/>
      <c r="EC37" s="162"/>
      <c r="ED37" s="162"/>
      <c r="EE37" s="162"/>
      <c r="EF37" s="162"/>
      <c r="EG37" s="162"/>
      <c r="EH37" s="162"/>
      <c r="EI37" s="162"/>
      <c r="EJ37" s="162"/>
      <c r="EK37" s="162"/>
      <c r="EL37" s="162"/>
      <c r="EM37" s="162"/>
      <c r="EN37" s="163"/>
      <c r="EO37" s="140"/>
      <c r="EP37" s="156"/>
      <c r="EQ37" s="157"/>
      <c r="ER37" s="158"/>
      <c r="ES37" s="158"/>
      <c r="ET37" s="159"/>
      <c r="EU37" s="160"/>
      <c r="EV37" s="160"/>
      <c r="EW37" s="162"/>
      <c r="EX37" s="162"/>
      <c r="EY37" s="162"/>
      <c r="EZ37" s="162"/>
      <c r="FA37" s="162"/>
      <c r="FB37" s="162"/>
      <c r="FC37" s="162"/>
      <c r="FD37" s="162"/>
      <c r="FE37" s="162"/>
      <c r="FF37" s="162"/>
      <c r="FG37" s="162"/>
      <c r="FH37" s="162"/>
      <c r="FI37" s="162"/>
      <c r="FJ37" s="162"/>
      <c r="FK37" s="162"/>
      <c r="FL37" s="163"/>
      <c r="FM37" s="140"/>
      <c r="FN37" s="156"/>
      <c r="FO37" s="157"/>
      <c r="FP37" s="158"/>
      <c r="FQ37" s="158"/>
      <c r="FR37" s="159"/>
      <c r="FS37" s="160"/>
      <c r="FT37" s="160"/>
      <c r="FU37" s="162"/>
      <c r="FV37" s="162"/>
      <c r="FW37" s="162"/>
      <c r="FX37" s="162"/>
      <c r="FY37" s="162"/>
      <c r="FZ37" s="162"/>
      <c r="GA37" s="162"/>
      <c r="GB37" s="162"/>
      <c r="GC37" s="162"/>
      <c r="GD37" s="162"/>
      <c r="GE37" s="162"/>
      <c r="GF37" s="162"/>
      <c r="GG37" s="162"/>
      <c r="GH37" s="162"/>
      <c r="GI37" s="162"/>
      <c r="GJ37" s="163"/>
      <c r="GK37" s="140"/>
      <c r="GL37" s="156"/>
      <c r="GM37" s="157"/>
      <c r="GN37" s="158"/>
      <c r="GO37" s="158"/>
      <c r="GP37" s="159"/>
      <c r="GQ37" s="160"/>
      <c r="GR37" s="160"/>
      <c r="GS37" s="162"/>
      <c r="GT37" s="162"/>
      <c r="GU37" s="162"/>
      <c r="GV37" s="162"/>
      <c r="GW37" s="162"/>
      <c r="GX37" s="162"/>
      <c r="GY37" s="162"/>
      <c r="GZ37" s="162"/>
      <c r="HA37" s="162"/>
      <c r="HB37" s="162"/>
      <c r="HC37" s="162"/>
      <c r="HD37" s="162"/>
      <c r="HE37" s="162"/>
      <c r="HF37" s="162"/>
      <c r="HG37" s="162"/>
      <c r="HH37" s="163"/>
      <c r="HI37" s="140"/>
      <c r="HJ37" s="156"/>
      <c r="HK37" s="157"/>
      <c r="HL37" s="158"/>
      <c r="HM37" s="158"/>
      <c r="HN37" s="159"/>
      <c r="HO37" s="160"/>
      <c r="HP37" s="160"/>
      <c r="HQ37" s="162"/>
      <c r="HR37" s="162"/>
      <c r="HS37" s="162"/>
      <c r="HT37" s="162"/>
      <c r="HU37" s="162"/>
      <c r="HV37" s="162"/>
      <c r="HW37" s="162"/>
      <c r="HX37" s="162"/>
      <c r="HY37" s="162"/>
      <c r="HZ37" s="162"/>
      <c r="IA37" s="162"/>
      <c r="IB37" s="162"/>
      <c r="IC37" s="162"/>
      <c r="ID37" s="162"/>
      <c r="IE37" s="162"/>
      <c r="IF37" s="163"/>
      <c r="IG37" s="140"/>
      <c r="IH37" s="156"/>
      <c r="II37" s="157"/>
      <c r="IJ37" s="158"/>
      <c r="IK37" s="158"/>
      <c r="IL37" s="159"/>
      <c r="IM37" s="160"/>
      <c r="IN37" s="160"/>
      <c r="IO37" s="162"/>
      <c r="IP37" s="162"/>
      <c r="IQ37" s="162"/>
      <c r="IR37" s="162"/>
      <c r="IS37" s="162"/>
      <c r="IT37" s="162"/>
      <c r="IU37" s="162"/>
      <c r="IV37" s="162"/>
    </row>
    <row r="38" spans="1:256" s="141" customFormat="1" ht="30" x14ac:dyDescent="0.25">
      <c r="A38" s="138">
        <v>4.0999999999999996</v>
      </c>
      <c r="B38" s="165" t="s">
        <v>403</v>
      </c>
      <c r="C38" s="110">
        <v>7523000</v>
      </c>
      <c r="D38" s="80" t="s">
        <v>27</v>
      </c>
      <c r="E38" s="43"/>
      <c r="F38" s="11">
        <v>362</v>
      </c>
      <c r="G38" s="81" t="s">
        <v>22</v>
      </c>
      <c r="H38" s="81">
        <v>9</v>
      </c>
      <c r="I38" s="151">
        <v>98241501</v>
      </c>
      <c r="J38" s="24" t="s">
        <v>456</v>
      </c>
      <c r="K38" s="83">
        <v>90000</v>
      </c>
      <c r="L38" s="166" t="s">
        <v>450</v>
      </c>
      <c r="M38" s="166">
        <v>41244</v>
      </c>
      <c r="N38" s="83"/>
      <c r="O38" s="83"/>
      <c r="P38" s="83"/>
      <c r="Q38" s="83"/>
      <c r="R38" s="83">
        <v>3</v>
      </c>
      <c r="S38" s="83">
        <v>30000</v>
      </c>
      <c r="T38" s="83">
        <v>3</v>
      </c>
      <c r="U38" s="83">
        <v>30000</v>
      </c>
      <c r="V38" s="83">
        <v>3</v>
      </c>
      <c r="W38" s="83">
        <v>30000</v>
      </c>
      <c r="X38" s="167"/>
      <c r="Y38" s="168"/>
      <c r="Z38" s="168"/>
      <c r="AA38" s="168"/>
      <c r="AB38" s="168"/>
      <c r="AC38" s="168"/>
      <c r="AD38" s="168"/>
      <c r="AE38" s="168"/>
    </row>
    <row r="39" spans="1:256" s="141" customFormat="1" ht="30" x14ac:dyDescent="0.25">
      <c r="A39" s="138">
        <v>4.2</v>
      </c>
      <c r="B39" s="165" t="s">
        <v>403</v>
      </c>
      <c r="C39" s="110">
        <v>7523000</v>
      </c>
      <c r="D39" s="172" t="s">
        <v>28</v>
      </c>
      <c r="E39" s="173"/>
      <c r="F39" s="11">
        <v>362</v>
      </c>
      <c r="G39" s="81" t="s">
        <v>22</v>
      </c>
      <c r="H39" s="81">
        <v>6</v>
      </c>
      <c r="I39" s="151">
        <v>98204</v>
      </c>
      <c r="J39" s="83" t="s">
        <v>431</v>
      </c>
      <c r="K39" s="83">
        <v>60000</v>
      </c>
      <c r="L39" s="166" t="s">
        <v>450</v>
      </c>
      <c r="M39" s="166">
        <v>41244</v>
      </c>
      <c r="N39" s="83"/>
      <c r="O39" s="83"/>
      <c r="P39" s="83"/>
      <c r="Q39" s="83"/>
      <c r="R39" s="83"/>
      <c r="S39" s="83"/>
      <c r="T39" s="83">
        <v>3</v>
      </c>
      <c r="U39" s="83">
        <v>30000</v>
      </c>
      <c r="V39" s="83">
        <v>3</v>
      </c>
      <c r="W39" s="83">
        <v>30000</v>
      </c>
      <c r="X39" s="167"/>
      <c r="Y39" s="168"/>
      <c r="Z39" s="168"/>
      <c r="AA39" s="168"/>
      <c r="AB39" s="168"/>
      <c r="AC39" s="168"/>
      <c r="AD39" s="168"/>
      <c r="AE39" s="168"/>
    </row>
    <row r="40" spans="1:256" s="141" customFormat="1" ht="30" x14ac:dyDescent="0.25">
      <c r="A40" s="138">
        <v>4.3</v>
      </c>
      <c r="B40" s="165" t="s">
        <v>403</v>
      </c>
      <c r="C40" s="110">
        <v>7523000</v>
      </c>
      <c r="D40" s="172" t="s">
        <v>29</v>
      </c>
      <c r="E40" s="173"/>
      <c r="F40" s="11">
        <v>362</v>
      </c>
      <c r="G40" s="81" t="s">
        <v>22</v>
      </c>
      <c r="H40" s="81">
        <v>6</v>
      </c>
      <c r="I40" s="151">
        <v>98254551</v>
      </c>
      <c r="J40" s="24" t="s">
        <v>442</v>
      </c>
      <c r="K40" s="83">
        <v>60000</v>
      </c>
      <c r="L40" s="166" t="s">
        <v>450</v>
      </c>
      <c r="M40" s="166">
        <v>41244</v>
      </c>
      <c r="N40" s="83"/>
      <c r="O40" s="83"/>
      <c r="P40" s="83"/>
      <c r="Q40" s="83"/>
      <c r="R40" s="83"/>
      <c r="S40" s="83"/>
      <c r="T40" s="83">
        <v>3</v>
      </c>
      <c r="U40" s="83">
        <v>30000</v>
      </c>
      <c r="V40" s="83">
        <v>3</v>
      </c>
      <c r="W40" s="83">
        <v>30000</v>
      </c>
      <c r="X40" s="167"/>
      <c r="Y40" s="168"/>
      <c r="Z40" s="168"/>
      <c r="AA40" s="168"/>
      <c r="AB40" s="168"/>
      <c r="AC40" s="168"/>
      <c r="AD40" s="168"/>
      <c r="AE40" s="168"/>
    </row>
    <row r="41" spans="1:256" s="141" customFormat="1" ht="30" x14ac:dyDescent="0.25">
      <c r="A41" s="138">
        <v>4.4000000000000004</v>
      </c>
      <c r="B41" s="165" t="s">
        <v>403</v>
      </c>
      <c r="C41" s="110">
        <v>7523000</v>
      </c>
      <c r="D41" s="172" t="s">
        <v>30</v>
      </c>
      <c r="E41" s="173"/>
      <c r="F41" s="11">
        <v>362</v>
      </c>
      <c r="G41" s="81" t="s">
        <v>22</v>
      </c>
      <c r="H41" s="81">
        <v>6</v>
      </c>
      <c r="I41" s="151">
        <v>98229</v>
      </c>
      <c r="J41" s="174" t="s">
        <v>439</v>
      </c>
      <c r="K41" s="83">
        <v>60000</v>
      </c>
      <c r="L41" s="166" t="s">
        <v>450</v>
      </c>
      <c r="M41" s="166">
        <v>41244</v>
      </c>
      <c r="N41" s="83"/>
      <c r="O41" s="83"/>
      <c r="P41" s="83"/>
      <c r="Q41" s="83"/>
      <c r="R41" s="83"/>
      <c r="S41" s="83"/>
      <c r="T41" s="83">
        <v>3</v>
      </c>
      <c r="U41" s="83">
        <v>30000</v>
      </c>
      <c r="V41" s="83">
        <v>3</v>
      </c>
      <c r="W41" s="83">
        <v>30000</v>
      </c>
      <c r="X41" s="167"/>
      <c r="Y41" s="168"/>
      <c r="Z41" s="168"/>
      <c r="AA41" s="168"/>
      <c r="AB41" s="168"/>
      <c r="AC41" s="168"/>
      <c r="AD41" s="168"/>
      <c r="AE41" s="168"/>
    </row>
    <row r="42" spans="1:256" s="141" customFormat="1" ht="30" x14ac:dyDescent="0.25">
      <c r="A42" s="138">
        <v>4.5</v>
      </c>
      <c r="B42" s="165" t="s">
        <v>403</v>
      </c>
      <c r="C42" s="110">
        <v>7523000</v>
      </c>
      <c r="D42" s="172" t="s">
        <v>31</v>
      </c>
      <c r="E42" s="173"/>
      <c r="F42" s="11">
        <v>362</v>
      </c>
      <c r="G42" s="81" t="s">
        <v>22</v>
      </c>
      <c r="H42" s="81">
        <v>12</v>
      </c>
      <c r="I42" s="151">
        <v>98248</v>
      </c>
      <c r="J42" s="83" t="s">
        <v>444</v>
      </c>
      <c r="K42" s="83">
        <v>54000</v>
      </c>
      <c r="L42" s="166" t="s">
        <v>7</v>
      </c>
      <c r="M42" s="166">
        <v>41244</v>
      </c>
      <c r="N42" s="83"/>
      <c r="O42" s="83"/>
      <c r="P42" s="83">
        <v>12</v>
      </c>
      <c r="Q42" s="83">
        <v>54000</v>
      </c>
      <c r="R42" s="83"/>
      <c r="S42" s="83"/>
      <c r="T42" s="83"/>
      <c r="U42" s="83"/>
      <c r="V42" s="83"/>
      <c r="W42" s="83"/>
      <c r="X42" s="167"/>
      <c r="Y42" s="168"/>
      <c r="Z42" s="168"/>
      <c r="AA42" s="168"/>
      <c r="AB42" s="168"/>
      <c r="AC42" s="168"/>
      <c r="AD42" s="168"/>
      <c r="AE42" s="168"/>
    </row>
    <row r="43" spans="1:256" s="141" customFormat="1" ht="30" x14ac:dyDescent="0.25">
      <c r="A43" s="138">
        <v>4.5999999999999996</v>
      </c>
      <c r="B43" s="165" t="s">
        <v>403</v>
      </c>
      <c r="C43" s="110">
        <v>7523000</v>
      </c>
      <c r="D43" s="172" t="s">
        <v>32</v>
      </c>
      <c r="E43" s="80"/>
      <c r="F43" s="11">
        <v>362</v>
      </c>
      <c r="G43" s="81" t="s">
        <v>22</v>
      </c>
      <c r="H43" s="81">
        <v>12</v>
      </c>
      <c r="I43" s="151">
        <v>98218501</v>
      </c>
      <c r="J43" s="174" t="s">
        <v>434</v>
      </c>
      <c r="K43" s="83">
        <v>112230</v>
      </c>
      <c r="L43" s="166" t="s">
        <v>7</v>
      </c>
      <c r="M43" s="166">
        <v>41244</v>
      </c>
      <c r="N43" s="83"/>
      <c r="O43" s="83"/>
      <c r="P43" s="83">
        <v>12</v>
      </c>
      <c r="Q43" s="83">
        <v>112230</v>
      </c>
      <c r="R43" s="83"/>
      <c r="S43" s="83"/>
      <c r="T43" s="83"/>
      <c r="U43" s="83"/>
      <c r="V43" s="83"/>
      <c r="W43" s="83"/>
      <c r="X43" s="167"/>
      <c r="Y43" s="168"/>
      <c r="Z43" s="168"/>
      <c r="AA43" s="168"/>
      <c r="AB43" s="168"/>
      <c r="AC43" s="168"/>
      <c r="AD43" s="168"/>
      <c r="AE43" s="168"/>
    </row>
    <row r="44" spans="1:256" s="141" customFormat="1" ht="30" x14ac:dyDescent="0.25">
      <c r="A44" s="138">
        <v>4.7</v>
      </c>
      <c r="B44" s="165" t="s">
        <v>403</v>
      </c>
      <c r="C44" s="110">
        <v>7523000</v>
      </c>
      <c r="D44" s="80" t="s">
        <v>33</v>
      </c>
      <c r="E44" s="43"/>
      <c r="F44" s="11">
        <v>362</v>
      </c>
      <c r="G44" s="81" t="s">
        <v>22</v>
      </c>
      <c r="H44" s="129">
        <v>12</v>
      </c>
      <c r="I44" s="151">
        <v>98227501</v>
      </c>
      <c r="J44" s="24" t="s">
        <v>430</v>
      </c>
      <c r="K44" s="24">
        <v>240000</v>
      </c>
      <c r="L44" s="166" t="s">
        <v>7</v>
      </c>
      <c r="M44" s="166">
        <v>41244</v>
      </c>
      <c r="N44" s="24"/>
      <c r="O44" s="24"/>
      <c r="P44" s="83">
        <v>12</v>
      </c>
      <c r="Q44" s="83">
        <v>240000</v>
      </c>
      <c r="R44" s="83"/>
      <c r="S44" s="83"/>
      <c r="T44" s="83"/>
      <c r="U44" s="83"/>
      <c r="V44" s="83"/>
      <c r="W44" s="83"/>
      <c r="X44" s="167"/>
      <c r="Y44" s="168"/>
      <c r="Z44" s="168"/>
      <c r="AA44" s="168"/>
      <c r="AB44" s="168"/>
      <c r="AC44" s="168"/>
      <c r="AD44" s="168"/>
      <c r="AE44" s="168"/>
    </row>
    <row r="45" spans="1:256" s="141" customFormat="1" ht="30" x14ac:dyDescent="0.25">
      <c r="A45" s="138">
        <v>4.8</v>
      </c>
      <c r="B45" s="165" t="s">
        <v>403</v>
      </c>
      <c r="C45" s="110">
        <v>7523000</v>
      </c>
      <c r="D45" s="80" t="s">
        <v>34</v>
      </c>
      <c r="E45" s="43"/>
      <c r="F45" s="11">
        <v>362</v>
      </c>
      <c r="G45" s="81" t="s">
        <v>22</v>
      </c>
      <c r="H45" s="129">
        <v>12</v>
      </c>
      <c r="I45" s="151">
        <v>98231552</v>
      </c>
      <c r="J45" s="24" t="s">
        <v>432</v>
      </c>
      <c r="K45" s="24">
        <v>130516</v>
      </c>
      <c r="L45" s="166" t="s">
        <v>7</v>
      </c>
      <c r="M45" s="166">
        <v>41244</v>
      </c>
      <c r="N45" s="24"/>
      <c r="O45" s="24"/>
      <c r="P45" s="83">
        <v>12</v>
      </c>
      <c r="Q45" s="83">
        <v>130516</v>
      </c>
      <c r="R45" s="83"/>
      <c r="S45" s="83"/>
      <c r="T45" s="83"/>
      <c r="U45" s="83"/>
      <c r="V45" s="83"/>
      <c r="W45" s="83"/>
      <c r="X45" s="167"/>
      <c r="Y45" s="168"/>
      <c r="Z45" s="168"/>
      <c r="AA45" s="168"/>
      <c r="AB45" s="168"/>
      <c r="AC45" s="168"/>
      <c r="AD45" s="168"/>
      <c r="AE45" s="168"/>
    </row>
    <row r="46" spans="1:256" s="141" customFormat="1" ht="30" x14ac:dyDescent="0.25">
      <c r="A46" s="138">
        <v>4.9000000000000004</v>
      </c>
      <c r="B46" s="165" t="s">
        <v>403</v>
      </c>
      <c r="C46" s="110">
        <v>7523000</v>
      </c>
      <c r="D46" s="80" t="s">
        <v>35</v>
      </c>
      <c r="E46" s="43"/>
      <c r="F46" s="11">
        <v>362</v>
      </c>
      <c r="G46" s="81" t="s">
        <v>22</v>
      </c>
      <c r="H46" s="129">
        <v>12</v>
      </c>
      <c r="I46" s="151">
        <v>98231509</v>
      </c>
      <c r="J46" s="174" t="s">
        <v>443</v>
      </c>
      <c r="K46" s="24">
        <v>124442</v>
      </c>
      <c r="L46" s="166" t="s">
        <v>7</v>
      </c>
      <c r="M46" s="166">
        <v>41244</v>
      </c>
      <c r="N46" s="24"/>
      <c r="O46" s="24"/>
      <c r="P46" s="83">
        <v>12</v>
      </c>
      <c r="Q46" s="83">
        <v>124442</v>
      </c>
      <c r="R46" s="83"/>
      <c r="S46" s="83"/>
      <c r="T46" s="83"/>
      <c r="U46" s="83"/>
      <c r="V46" s="83"/>
      <c r="W46" s="83"/>
      <c r="X46" s="167"/>
      <c r="Y46" s="168"/>
      <c r="Z46" s="168"/>
      <c r="AA46" s="168"/>
      <c r="AB46" s="168"/>
      <c r="AC46" s="168"/>
      <c r="AD46" s="168"/>
      <c r="AE46" s="168"/>
    </row>
    <row r="47" spans="1:256" s="141" customFormat="1" ht="30" x14ac:dyDescent="0.25">
      <c r="A47" s="138">
        <v>4.0999999999999996</v>
      </c>
      <c r="B47" s="165" t="s">
        <v>403</v>
      </c>
      <c r="C47" s="110">
        <v>7523000</v>
      </c>
      <c r="D47" s="80" t="s">
        <v>36</v>
      </c>
      <c r="E47" s="43"/>
      <c r="F47" s="11">
        <v>362</v>
      </c>
      <c r="G47" s="81" t="s">
        <v>22</v>
      </c>
      <c r="H47" s="129">
        <v>12</v>
      </c>
      <c r="I47" s="151">
        <v>98404</v>
      </c>
      <c r="J47" s="174" t="s">
        <v>440</v>
      </c>
      <c r="K47" s="24">
        <v>378509.04</v>
      </c>
      <c r="L47" s="166" t="s">
        <v>7</v>
      </c>
      <c r="M47" s="166">
        <v>41244</v>
      </c>
      <c r="N47" s="24"/>
      <c r="O47" s="24"/>
      <c r="P47" s="83">
        <v>12</v>
      </c>
      <c r="Q47" s="83">
        <v>378509</v>
      </c>
      <c r="R47" s="83"/>
      <c r="S47" s="83"/>
      <c r="T47" s="83"/>
      <c r="U47" s="83"/>
      <c r="V47" s="83"/>
      <c r="W47" s="83"/>
      <c r="X47" s="167"/>
      <c r="Y47" s="168"/>
      <c r="Z47" s="168"/>
      <c r="AA47" s="168"/>
      <c r="AB47" s="168"/>
      <c r="AC47" s="168"/>
      <c r="AD47" s="168"/>
      <c r="AE47" s="168"/>
    </row>
    <row r="48" spans="1:256" s="141" customFormat="1" ht="30" x14ac:dyDescent="0.25">
      <c r="A48" s="138">
        <v>4.1100000000000003</v>
      </c>
      <c r="B48" s="165" t="s">
        <v>403</v>
      </c>
      <c r="C48" s="110">
        <v>7523000</v>
      </c>
      <c r="D48" s="80" t="s">
        <v>37</v>
      </c>
      <c r="E48" s="43"/>
      <c r="F48" s="11">
        <v>362</v>
      </c>
      <c r="G48" s="81" t="s">
        <v>22</v>
      </c>
      <c r="H48" s="129">
        <v>12</v>
      </c>
      <c r="I48" s="151">
        <v>98406</v>
      </c>
      <c r="J48" s="174" t="s">
        <v>441</v>
      </c>
      <c r="K48" s="24">
        <v>69696</v>
      </c>
      <c r="L48" s="166" t="s">
        <v>7</v>
      </c>
      <c r="M48" s="166">
        <v>41244</v>
      </c>
      <c r="N48" s="24"/>
      <c r="O48" s="24"/>
      <c r="P48" s="83">
        <v>12</v>
      </c>
      <c r="Q48" s="83">
        <v>69696</v>
      </c>
      <c r="R48" s="83"/>
      <c r="S48" s="83"/>
      <c r="T48" s="83"/>
      <c r="U48" s="83"/>
      <c r="V48" s="83"/>
      <c r="W48" s="83"/>
      <c r="X48" s="167"/>
      <c r="Y48" s="168"/>
      <c r="Z48" s="168"/>
      <c r="AA48" s="168"/>
      <c r="AB48" s="168"/>
      <c r="AC48" s="168"/>
      <c r="AD48" s="168"/>
      <c r="AE48" s="168"/>
    </row>
    <row r="49" spans="1:256" s="141" customFormat="1" ht="30" x14ac:dyDescent="0.25">
      <c r="A49" s="138">
        <v>4.12</v>
      </c>
      <c r="B49" s="165" t="s">
        <v>403</v>
      </c>
      <c r="C49" s="110">
        <v>7523000</v>
      </c>
      <c r="D49" s="80" t="s">
        <v>38</v>
      </c>
      <c r="E49" s="43"/>
      <c r="F49" s="11">
        <v>362</v>
      </c>
      <c r="G49" s="81" t="s">
        <v>22</v>
      </c>
      <c r="H49" s="129">
        <v>12</v>
      </c>
      <c r="I49" s="151">
        <v>98401</v>
      </c>
      <c r="J49" s="83" t="s">
        <v>429</v>
      </c>
      <c r="K49" s="27">
        <v>1001757.6</v>
      </c>
      <c r="L49" s="166" t="s">
        <v>7</v>
      </c>
      <c r="M49" s="166">
        <v>41244</v>
      </c>
      <c r="N49" s="27"/>
      <c r="O49" s="27"/>
      <c r="P49" s="83">
        <v>12</v>
      </c>
      <c r="Q49" s="83">
        <v>1001758</v>
      </c>
      <c r="R49" s="83"/>
      <c r="S49" s="83"/>
      <c r="T49" s="83"/>
      <c r="U49" s="83"/>
      <c r="V49" s="83"/>
      <c r="W49" s="83"/>
      <c r="X49" s="167"/>
      <c r="Y49" s="168"/>
      <c r="Z49" s="168"/>
      <c r="AA49" s="168"/>
      <c r="AB49" s="168"/>
      <c r="AC49" s="168"/>
      <c r="AD49" s="168"/>
      <c r="AE49" s="168"/>
    </row>
    <row r="50" spans="1:256" s="141" customFormat="1" x14ac:dyDescent="0.25">
      <c r="A50" s="138">
        <v>4.13</v>
      </c>
      <c r="B50" s="165"/>
      <c r="C50" s="110"/>
      <c r="D50" s="43" t="s">
        <v>334</v>
      </c>
      <c r="E50" s="43"/>
      <c r="F50" s="110">
        <v>796</v>
      </c>
      <c r="G50" s="81" t="s">
        <v>17</v>
      </c>
      <c r="H50" s="129">
        <v>1</v>
      </c>
      <c r="I50" s="151">
        <v>98401</v>
      </c>
      <c r="J50" s="83" t="s">
        <v>429</v>
      </c>
      <c r="K50" s="27">
        <v>166487</v>
      </c>
      <c r="L50" s="166" t="s">
        <v>9</v>
      </c>
      <c r="M50" s="166">
        <v>41184</v>
      </c>
      <c r="N50" s="27"/>
      <c r="O50" s="27"/>
      <c r="P50" s="83"/>
      <c r="Q50" s="83"/>
      <c r="R50" s="83"/>
      <c r="S50" s="83"/>
      <c r="T50" s="83">
        <v>1</v>
      </c>
      <c r="U50" s="83">
        <v>166487</v>
      </c>
      <c r="V50" s="83"/>
      <c r="W50" s="83"/>
      <c r="X50" s="167"/>
      <c r="Y50" s="168"/>
      <c r="Z50" s="168"/>
      <c r="AA50" s="168"/>
      <c r="AB50" s="168"/>
      <c r="AC50" s="168"/>
      <c r="AD50" s="168"/>
      <c r="AE50" s="168"/>
    </row>
    <row r="51" spans="1:256" s="164" customFormat="1" ht="14.25" x14ac:dyDescent="0.2">
      <c r="A51" s="139"/>
      <c r="B51" s="175"/>
      <c r="C51" s="176"/>
      <c r="D51" s="177"/>
      <c r="E51" s="177"/>
      <c r="F51" s="37"/>
      <c r="G51" s="178"/>
      <c r="H51" s="179"/>
      <c r="I51" s="180"/>
      <c r="J51" s="45"/>
      <c r="K51" s="65">
        <v>2547637.64</v>
      </c>
      <c r="L51" s="65"/>
      <c r="M51" s="65"/>
      <c r="N51" s="65"/>
      <c r="O51" s="65"/>
      <c r="P51" s="65"/>
      <c r="Q51" s="65">
        <v>2111151</v>
      </c>
      <c r="R51" s="65"/>
      <c r="S51" s="65">
        <v>30000</v>
      </c>
      <c r="T51" s="65"/>
      <c r="U51" s="65">
        <v>286487</v>
      </c>
      <c r="V51" s="65"/>
      <c r="W51" s="65">
        <v>120000</v>
      </c>
      <c r="X51" s="181"/>
      <c r="Y51" s="182"/>
      <c r="Z51" s="183"/>
      <c r="AA51" s="183"/>
      <c r="AB51" s="183"/>
      <c r="AC51" s="183"/>
      <c r="AD51" s="183"/>
      <c r="AE51" s="183"/>
    </row>
    <row r="52" spans="1:256" s="164" customFormat="1" ht="14.25" x14ac:dyDescent="0.2">
      <c r="A52" s="140">
        <v>5</v>
      </c>
      <c r="B52" s="156" t="s">
        <v>404</v>
      </c>
      <c r="C52" s="157">
        <v>7492050</v>
      </c>
      <c r="D52" s="158" t="s">
        <v>39</v>
      </c>
      <c r="E52" s="158"/>
      <c r="F52" s="159"/>
      <c r="G52" s="160"/>
      <c r="H52" s="160"/>
      <c r="I52" s="161"/>
      <c r="J52" s="162"/>
      <c r="K52" s="162"/>
      <c r="L52" s="162"/>
      <c r="M52" s="162"/>
      <c r="N52" s="162"/>
      <c r="O52" s="162"/>
      <c r="P52" s="162"/>
      <c r="Q52" s="162"/>
      <c r="R52" s="162"/>
      <c r="S52" s="162"/>
      <c r="T52" s="162"/>
      <c r="U52" s="162"/>
      <c r="V52" s="162"/>
      <c r="W52" s="162"/>
      <c r="X52" s="163"/>
      <c r="Y52" s="140"/>
      <c r="Z52" s="156"/>
      <c r="AA52" s="157"/>
      <c r="AB52" s="158"/>
      <c r="AC52" s="158"/>
      <c r="AD52" s="159"/>
      <c r="AE52" s="160"/>
      <c r="AF52" s="160"/>
      <c r="AG52" s="162"/>
      <c r="AH52" s="162"/>
      <c r="AI52" s="162"/>
      <c r="AJ52" s="162"/>
      <c r="AK52" s="162"/>
      <c r="AL52" s="162"/>
      <c r="AM52" s="162"/>
      <c r="AN52" s="162"/>
      <c r="AO52" s="162"/>
      <c r="AP52" s="162"/>
      <c r="AQ52" s="162"/>
      <c r="AR52" s="162"/>
      <c r="AS52" s="162"/>
      <c r="AT52" s="162"/>
      <c r="AU52" s="162"/>
      <c r="AV52" s="163"/>
      <c r="AW52" s="140"/>
      <c r="AX52" s="156"/>
      <c r="AY52" s="157"/>
      <c r="AZ52" s="158"/>
      <c r="BA52" s="158"/>
      <c r="BB52" s="159"/>
      <c r="BC52" s="160"/>
      <c r="BD52" s="160"/>
      <c r="BE52" s="162"/>
      <c r="BF52" s="162"/>
      <c r="BG52" s="162"/>
      <c r="BH52" s="162"/>
      <c r="BI52" s="162"/>
      <c r="BJ52" s="162"/>
      <c r="BK52" s="162"/>
      <c r="BL52" s="162"/>
      <c r="BM52" s="162"/>
      <c r="BN52" s="162"/>
      <c r="BO52" s="162"/>
      <c r="BP52" s="162"/>
      <c r="BQ52" s="162"/>
      <c r="BR52" s="162"/>
      <c r="BS52" s="162"/>
      <c r="BT52" s="163"/>
      <c r="BU52" s="140"/>
      <c r="BV52" s="156"/>
      <c r="BW52" s="157"/>
      <c r="BX52" s="158"/>
      <c r="BY52" s="158"/>
      <c r="BZ52" s="159"/>
      <c r="CA52" s="160"/>
      <c r="CB52" s="160"/>
      <c r="CC52" s="162"/>
      <c r="CD52" s="162"/>
      <c r="CE52" s="162"/>
      <c r="CF52" s="162"/>
      <c r="CG52" s="162"/>
      <c r="CH52" s="162"/>
      <c r="CI52" s="162"/>
      <c r="CJ52" s="162"/>
      <c r="CK52" s="162"/>
      <c r="CL52" s="162"/>
      <c r="CM52" s="162"/>
      <c r="CN52" s="162"/>
      <c r="CO52" s="162"/>
      <c r="CP52" s="162"/>
      <c r="CQ52" s="162"/>
      <c r="CR52" s="163"/>
      <c r="CS52" s="140"/>
      <c r="CT52" s="156"/>
      <c r="CU52" s="157"/>
      <c r="CV52" s="158"/>
      <c r="CW52" s="158"/>
      <c r="CX52" s="159"/>
      <c r="CY52" s="160"/>
      <c r="CZ52" s="160"/>
      <c r="DA52" s="162"/>
      <c r="DB52" s="162"/>
      <c r="DC52" s="162"/>
      <c r="DD52" s="162"/>
      <c r="DE52" s="162"/>
      <c r="DF52" s="162"/>
      <c r="DG52" s="162"/>
      <c r="DH52" s="162"/>
      <c r="DI52" s="162"/>
      <c r="DJ52" s="162"/>
      <c r="DK52" s="162"/>
      <c r="DL52" s="162"/>
      <c r="DM52" s="162"/>
      <c r="DN52" s="162"/>
      <c r="DO52" s="162"/>
      <c r="DP52" s="163"/>
      <c r="DQ52" s="140"/>
      <c r="DR52" s="156"/>
      <c r="DS52" s="157"/>
      <c r="DT52" s="158"/>
      <c r="DU52" s="158"/>
      <c r="DV52" s="159"/>
      <c r="DW52" s="160"/>
      <c r="DX52" s="160"/>
      <c r="DY52" s="162"/>
      <c r="DZ52" s="162"/>
      <c r="EA52" s="162"/>
      <c r="EB52" s="162"/>
      <c r="EC52" s="162"/>
      <c r="ED52" s="162"/>
      <c r="EE52" s="162"/>
      <c r="EF52" s="162"/>
      <c r="EG52" s="162"/>
      <c r="EH52" s="162"/>
      <c r="EI52" s="162"/>
      <c r="EJ52" s="162"/>
      <c r="EK52" s="162"/>
      <c r="EL52" s="162"/>
      <c r="EM52" s="162"/>
      <c r="EN52" s="163"/>
      <c r="EO52" s="140"/>
      <c r="EP52" s="156"/>
      <c r="EQ52" s="157"/>
      <c r="ER52" s="158"/>
      <c r="ES52" s="158"/>
      <c r="ET52" s="159"/>
      <c r="EU52" s="160"/>
      <c r="EV52" s="160"/>
      <c r="EW52" s="162"/>
      <c r="EX52" s="162"/>
      <c r="EY52" s="162"/>
      <c r="EZ52" s="162"/>
      <c r="FA52" s="162"/>
      <c r="FB52" s="162"/>
      <c r="FC52" s="162"/>
      <c r="FD52" s="162"/>
      <c r="FE52" s="162"/>
      <c r="FF52" s="162"/>
      <c r="FG52" s="162"/>
      <c r="FH52" s="162"/>
      <c r="FI52" s="162"/>
      <c r="FJ52" s="162"/>
      <c r="FK52" s="162"/>
      <c r="FL52" s="163"/>
      <c r="FM52" s="140"/>
      <c r="FN52" s="156"/>
      <c r="FO52" s="157"/>
      <c r="FP52" s="158"/>
      <c r="FQ52" s="158"/>
      <c r="FR52" s="159"/>
      <c r="FS52" s="160"/>
      <c r="FT52" s="160"/>
      <c r="FU52" s="162"/>
      <c r="FV52" s="162"/>
      <c r="FW52" s="162"/>
      <c r="FX52" s="162"/>
      <c r="FY52" s="162"/>
      <c r="FZ52" s="162"/>
      <c r="GA52" s="162"/>
      <c r="GB52" s="162"/>
      <c r="GC52" s="162"/>
      <c r="GD52" s="162"/>
      <c r="GE52" s="162"/>
      <c r="GF52" s="162"/>
      <c r="GG52" s="162"/>
      <c r="GH52" s="162"/>
      <c r="GI52" s="162"/>
      <c r="GJ52" s="163"/>
      <c r="GK52" s="140"/>
      <c r="GL52" s="156"/>
      <c r="GM52" s="157"/>
      <c r="GN52" s="158"/>
      <c r="GO52" s="158"/>
      <c r="GP52" s="159"/>
      <c r="GQ52" s="160"/>
      <c r="GR52" s="160"/>
      <c r="GS52" s="162"/>
      <c r="GT52" s="162"/>
      <c r="GU52" s="162"/>
      <c r="GV52" s="162"/>
      <c r="GW52" s="162"/>
      <c r="GX52" s="162"/>
      <c r="GY52" s="162"/>
      <c r="GZ52" s="162"/>
      <c r="HA52" s="162"/>
      <c r="HB52" s="162"/>
      <c r="HC52" s="162"/>
      <c r="HD52" s="162"/>
      <c r="HE52" s="162"/>
      <c r="HF52" s="162"/>
      <c r="HG52" s="162"/>
      <c r="HH52" s="163"/>
      <c r="HI52" s="140"/>
      <c r="HJ52" s="156"/>
      <c r="HK52" s="157"/>
      <c r="HL52" s="158"/>
      <c r="HM52" s="158"/>
      <c r="HN52" s="159"/>
      <c r="HO52" s="160"/>
      <c r="HP52" s="160"/>
      <c r="HQ52" s="162"/>
      <c r="HR52" s="162"/>
      <c r="HS52" s="162"/>
      <c r="HT52" s="162"/>
      <c r="HU52" s="162"/>
      <c r="HV52" s="162"/>
      <c r="HW52" s="162"/>
      <c r="HX52" s="162"/>
      <c r="HY52" s="162"/>
      <c r="HZ52" s="162"/>
      <c r="IA52" s="162"/>
      <c r="IB52" s="162"/>
      <c r="IC52" s="162"/>
      <c r="ID52" s="162"/>
      <c r="IE52" s="162"/>
      <c r="IF52" s="163"/>
      <c r="IG52" s="140"/>
      <c r="IH52" s="156"/>
      <c r="II52" s="157"/>
      <c r="IJ52" s="158"/>
      <c r="IK52" s="158"/>
      <c r="IL52" s="159"/>
      <c r="IM52" s="160"/>
      <c r="IN52" s="160"/>
      <c r="IO52" s="162"/>
      <c r="IP52" s="162"/>
      <c r="IQ52" s="162"/>
      <c r="IR52" s="162"/>
      <c r="IS52" s="162"/>
      <c r="IT52" s="162"/>
      <c r="IU52" s="162"/>
      <c r="IV52" s="162"/>
    </row>
    <row r="53" spans="1:256" s="141" customFormat="1" x14ac:dyDescent="0.25">
      <c r="A53" s="138">
        <v>5.0999999999999996</v>
      </c>
      <c r="B53" s="165" t="s">
        <v>404</v>
      </c>
      <c r="C53" s="110">
        <v>7492050</v>
      </c>
      <c r="D53" s="43" t="s">
        <v>27</v>
      </c>
      <c r="E53" s="43"/>
      <c r="F53" s="110">
        <v>796</v>
      </c>
      <c r="G53" s="81" t="s">
        <v>17</v>
      </c>
      <c r="H53" s="129">
        <v>1</v>
      </c>
      <c r="I53" s="151">
        <v>98241501</v>
      </c>
      <c r="J53" s="24" t="s">
        <v>456</v>
      </c>
      <c r="K53" s="27">
        <v>70000</v>
      </c>
      <c r="L53" s="27"/>
      <c r="M53" s="27"/>
      <c r="N53" s="27"/>
      <c r="O53" s="27"/>
      <c r="P53" s="24">
        <v>1</v>
      </c>
      <c r="Q53" s="27">
        <v>70000</v>
      </c>
      <c r="R53" s="83"/>
      <c r="S53" s="83"/>
      <c r="T53" s="83"/>
      <c r="U53" s="83"/>
      <c r="V53" s="83"/>
      <c r="W53" s="83"/>
      <c r="X53" s="167"/>
      <c r="Y53" s="168"/>
      <c r="Z53" s="168"/>
      <c r="AA53" s="168"/>
      <c r="AB53" s="168"/>
      <c r="AC53" s="168"/>
      <c r="AD53" s="168"/>
      <c r="AE53" s="168"/>
    </row>
    <row r="54" spans="1:256" s="141" customFormat="1" ht="30" x14ac:dyDescent="0.25">
      <c r="A54" s="138">
        <v>5.2</v>
      </c>
      <c r="B54" s="165" t="s">
        <v>404</v>
      </c>
      <c r="C54" s="110">
        <v>7492050</v>
      </c>
      <c r="D54" s="173" t="s">
        <v>28</v>
      </c>
      <c r="E54" s="173"/>
      <c r="F54" s="110">
        <v>796</v>
      </c>
      <c r="G54" s="81" t="s">
        <v>17</v>
      </c>
      <c r="H54" s="129">
        <v>1</v>
      </c>
      <c r="I54" s="151">
        <v>98204</v>
      </c>
      <c r="J54" s="83" t="s">
        <v>431</v>
      </c>
      <c r="K54" s="27">
        <v>70000</v>
      </c>
      <c r="L54" s="27"/>
      <c r="M54" s="27"/>
      <c r="N54" s="27"/>
      <c r="O54" s="27"/>
      <c r="P54" s="24"/>
      <c r="Q54" s="27"/>
      <c r="R54" s="83"/>
      <c r="S54" s="83"/>
      <c r="T54" s="83"/>
      <c r="U54" s="83"/>
      <c r="V54" s="83"/>
      <c r="W54" s="83">
        <v>70000</v>
      </c>
      <c r="X54" s="167"/>
      <c r="Y54" s="168"/>
      <c r="Z54" s="168"/>
      <c r="AA54" s="168"/>
      <c r="AB54" s="168"/>
      <c r="AC54" s="168"/>
      <c r="AD54" s="168"/>
      <c r="AE54" s="168"/>
    </row>
    <row r="55" spans="1:256" s="141" customFormat="1" x14ac:dyDescent="0.25">
      <c r="A55" s="138">
        <v>5.3</v>
      </c>
      <c r="B55" s="165" t="s">
        <v>404</v>
      </c>
      <c r="C55" s="110">
        <v>7492050</v>
      </c>
      <c r="D55" s="173" t="s">
        <v>29</v>
      </c>
      <c r="E55" s="173"/>
      <c r="F55" s="110">
        <v>796</v>
      </c>
      <c r="G55" s="81" t="s">
        <v>17</v>
      </c>
      <c r="H55" s="129">
        <v>1</v>
      </c>
      <c r="I55" s="151">
        <v>98254551</v>
      </c>
      <c r="J55" s="24" t="s">
        <v>442</v>
      </c>
      <c r="K55" s="27">
        <v>100000</v>
      </c>
      <c r="L55" s="27"/>
      <c r="M55" s="27"/>
      <c r="N55" s="27"/>
      <c r="O55" s="27"/>
      <c r="P55" s="24"/>
      <c r="Q55" s="27"/>
      <c r="R55" s="83"/>
      <c r="S55" s="83"/>
      <c r="T55" s="83"/>
      <c r="U55" s="83"/>
      <c r="V55" s="83"/>
      <c r="W55" s="83">
        <v>100000</v>
      </c>
      <c r="X55" s="167"/>
      <c r="Y55" s="168"/>
      <c r="Z55" s="168"/>
      <c r="AA55" s="168"/>
      <c r="AB55" s="168"/>
      <c r="AC55" s="168"/>
      <c r="AD55" s="168"/>
      <c r="AE55" s="168"/>
    </row>
    <row r="56" spans="1:256" s="141" customFormat="1" x14ac:dyDescent="0.25">
      <c r="A56" s="138">
        <v>5.4</v>
      </c>
      <c r="B56" s="165" t="s">
        <v>404</v>
      </c>
      <c r="C56" s="110">
        <v>7492050</v>
      </c>
      <c r="D56" s="173" t="s">
        <v>30</v>
      </c>
      <c r="E56" s="173"/>
      <c r="F56" s="110">
        <v>796</v>
      </c>
      <c r="G56" s="81" t="s">
        <v>17</v>
      </c>
      <c r="H56" s="129">
        <v>1</v>
      </c>
      <c r="I56" s="151">
        <v>98229</v>
      </c>
      <c r="J56" s="174" t="s">
        <v>439</v>
      </c>
      <c r="K56" s="27">
        <v>70000</v>
      </c>
      <c r="L56" s="27"/>
      <c r="M56" s="27"/>
      <c r="N56" s="27"/>
      <c r="O56" s="27"/>
      <c r="P56" s="24"/>
      <c r="Q56" s="27"/>
      <c r="R56" s="83"/>
      <c r="S56" s="83"/>
      <c r="T56" s="83"/>
      <c r="U56" s="83"/>
      <c r="V56" s="83"/>
      <c r="W56" s="83">
        <v>70000</v>
      </c>
      <c r="X56" s="167"/>
      <c r="Y56" s="168"/>
      <c r="Z56" s="168"/>
      <c r="AA56" s="168"/>
      <c r="AB56" s="168"/>
      <c r="AC56" s="168"/>
      <c r="AD56" s="168"/>
      <c r="AE56" s="168"/>
    </row>
    <row r="57" spans="1:256" s="141" customFormat="1" x14ac:dyDescent="0.25">
      <c r="A57" s="138">
        <v>5.5</v>
      </c>
      <c r="B57" s="165" t="s">
        <v>404</v>
      </c>
      <c r="C57" s="110">
        <v>7492050</v>
      </c>
      <c r="D57" s="173" t="s">
        <v>40</v>
      </c>
      <c r="E57" s="173"/>
      <c r="F57" s="110">
        <v>796</v>
      </c>
      <c r="G57" s="81" t="s">
        <v>17</v>
      </c>
      <c r="H57" s="129">
        <v>1</v>
      </c>
      <c r="I57" s="151">
        <v>98227501</v>
      </c>
      <c r="J57" s="24" t="s">
        <v>430</v>
      </c>
      <c r="K57" s="27">
        <v>180000</v>
      </c>
      <c r="L57" s="27"/>
      <c r="M57" s="27"/>
      <c r="N57" s="27"/>
      <c r="O57" s="27"/>
      <c r="P57" s="24"/>
      <c r="Q57" s="27"/>
      <c r="R57" s="83"/>
      <c r="S57" s="83"/>
      <c r="T57" s="83"/>
      <c r="U57" s="83">
        <v>54000</v>
      </c>
      <c r="V57" s="83"/>
      <c r="W57" s="83">
        <v>126000</v>
      </c>
      <c r="X57" s="167"/>
      <c r="Y57" s="168"/>
      <c r="Z57" s="168"/>
      <c r="AA57" s="168"/>
      <c r="AB57" s="168"/>
      <c r="AC57" s="168"/>
      <c r="AD57" s="168"/>
      <c r="AE57" s="168"/>
    </row>
    <row r="58" spans="1:256" s="141" customFormat="1" x14ac:dyDescent="0.25">
      <c r="A58" s="138"/>
      <c r="B58" s="165"/>
      <c r="C58" s="110"/>
      <c r="D58" s="173"/>
      <c r="E58" s="173"/>
      <c r="F58" s="184"/>
      <c r="G58" s="81"/>
      <c r="H58" s="129"/>
      <c r="I58" s="185"/>
      <c r="J58" s="24"/>
      <c r="K58" s="65">
        <v>490000</v>
      </c>
      <c r="L58" s="65"/>
      <c r="M58" s="65"/>
      <c r="N58" s="65"/>
      <c r="O58" s="65"/>
      <c r="P58" s="24"/>
      <c r="Q58" s="65">
        <v>70000</v>
      </c>
      <c r="R58" s="83"/>
      <c r="S58" s="65">
        <v>0</v>
      </c>
      <c r="T58" s="83"/>
      <c r="U58" s="65">
        <v>54000</v>
      </c>
      <c r="V58" s="83"/>
      <c r="W58" s="65">
        <v>366000</v>
      </c>
      <c r="X58" s="167"/>
      <c r="Y58" s="171"/>
      <c r="Z58" s="168"/>
      <c r="AA58" s="168"/>
      <c r="AB58" s="168"/>
      <c r="AC58" s="168"/>
      <c r="AD58" s="168"/>
      <c r="AE58" s="168"/>
    </row>
    <row r="59" spans="1:256" s="164" customFormat="1" ht="28.5" x14ac:dyDescent="0.2">
      <c r="A59" s="140">
        <v>6</v>
      </c>
      <c r="B59" s="156" t="s">
        <v>405</v>
      </c>
      <c r="C59" s="157">
        <v>7250010</v>
      </c>
      <c r="D59" s="158" t="s">
        <v>41</v>
      </c>
      <c r="E59" s="158"/>
      <c r="F59" s="159">
        <v>796</v>
      </c>
      <c r="G59" s="160" t="s">
        <v>17</v>
      </c>
      <c r="H59" s="160">
        <v>700</v>
      </c>
      <c r="I59" s="161">
        <v>98401</v>
      </c>
      <c r="J59" s="162" t="s">
        <v>429</v>
      </c>
      <c r="K59" s="162">
        <v>1280000</v>
      </c>
      <c r="L59" s="162"/>
      <c r="M59" s="162"/>
      <c r="N59" s="162"/>
      <c r="O59" s="162"/>
      <c r="P59" s="162">
        <v>550</v>
      </c>
      <c r="Q59" s="162">
        <v>1070000</v>
      </c>
      <c r="R59" s="162">
        <v>50</v>
      </c>
      <c r="S59" s="162">
        <v>70000</v>
      </c>
      <c r="T59" s="162">
        <v>50</v>
      </c>
      <c r="U59" s="162">
        <v>70000</v>
      </c>
      <c r="V59" s="162">
        <v>50</v>
      </c>
      <c r="W59" s="162">
        <v>70000</v>
      </c>
      <c r="X59" s="163"/>
      <c r="Y59" s="140"/>
      <c r="Z59" s="156"/>
      <c r="AA59" s="157"/>
      <c r="AB59" s="158"/>
      <c r="AC59" s="158"/>
      <c r="AD59" s="159"/>
      <c r="AE59" s="160"/>
      <c r="AF59" s="160"/>
      <c r="AG59" s="162"/>
      <c r="AH59" s="162"/>
      <c r="AI59" s="162"/>
      <c r="AJ59" s="162"/>
      <c r="AK59" s="162"/>
      <c r="AL59" s="162"/>
      <c r="AM59" s="162"/>
      <c r="AN59" s="162"/>
      <c r="AO59" s="162"/>
      <c r="AP59" s="162"/>
      <c r="AQ59" s="162"/>
      <c r="AR59" s="162"/>
      <c r="AS59" s="162"/>
      <c r="AT59" s="162"/>
      <c r="AU59" s="162"/>
      <c r="AV59" s="163"/>
      <c r="AW59" s="140"/>
      <c r="AX59" s="156"/>
      <c r="AY59" s="157"/>
      <c r="AZ59" s="158"/>
      <c r="BA59" s="158"/>
      <c r="BB59" s="159"/>
      <c r="BC59" s="160"/>
      <c r="BD59" s="160"/>
      <c r="BE59" s="162"/>
      <c r="BF59" s="162"/>
      <c r="BG59" s="162"/>
      <c r="BH59" s="162"/>
      <c r="BI59" s="162"/>
      <c r="BJ59" s="162"/>
      <c r="BK59" s="162"/>
      <c r="BL59" s="162"/>
      <c r="BM59" s="162"/>
      <c r="BN59" s="162"/>
      <c r="BO59" s="162"/>
      <c r="BP59" s="162"/>
      <c r="BQ59" s="162"/>
      <c r="BR59" s="162"/>
      <c r="BS59" s="162"/>
      <c r="BT59" s="163"/>
      <c r="BU59" s="140"/>
      <c r="BV59" s="156"/>
      <c r="BW59" s="157"/>
      <c r="BX59" s="158"/>
      <c r="BY59" s="158"/>
      <c r="BZ59" s="159"/>
      <c r="CA59" s="160"/>
      <c r="CB59" s="160"/>
      <c r="CC59" s="162"/>
      <c r="CD59" s="162"/>
      <c r="CE59" s="162"/>
      <c r="CF59" s="162"/>
      <c r="CG59" s="162"/>
      <c r="CH59" s="162"/>
      <c r="CI59" s="162"/>
      <c r="CJ59" s="162"/>
      <c r="CK59" s="162"/>
      <c r="CL59" s="162"/>
      <c r="CM59" s="162"/>
      <c r="CN59" s="162"/>
      <c r="CO59" s="162"/>
      <c r="CP59" s="162"/>
      <c r="CQ59" s="162"/>
      <c r="CR59" s="163"/>
      <c r="CS59" s="140"/>
      <c r="CT59" s="156"/>
      <c r="CU59" s="157"/>
      <c r="CV59" s="158"/>
      <c r="CW59" s="158"/>
      <c r="CX59" s="159"/>
      <c r="CY59" s="160"/>
      <c r="CZ59" s="160"/>
      <c r="DA59" s="162"/>
      <c r="DB59" s="162"/>
      <c r="DC59" s="162"/>
      <c r="DD59" s="162"/>
      <c r="DE59" s="162"/>
      <c r="DF59" s="162"/>
      <c r="DG59" s="162"/>
      <c r="DH59" s="162"/>
      <c r="DI59" s="162"/>
      <c r="DJ59" s="162"/>
      <c r="DK59" s="162"/>
      <c r="DL59" s="162"/>
      <c r="DM59" s="162"/>
      <c r="DN59" s="162"/>
      <c r="DO59" s="162"/>
      <c r="DP59" s="163"/>
      <c r="DQ59" s="140"/>
      <c r="DR59" s="156"/>
      <c r="DS59" s="157"/>
      <c r="DT59" s="158"/>
      <c r="DU59" s="158"/>
      <c r="DV59" s="159"/>
      <c r="DW59" s="160"/>
      <c r="DX59" s="160"/>
      <c r="DY59" s="162"/>
      <c r="DZ59" s="162"/>
      <c r="EA59" s="162"/>
      <c r="EB59" s="162"/>
      <c r="EC59" s="162"/>
      <c r="ED59" s="162"/>
      <c r="EE59" s="162"/>
      <c r="EF59" s="162"/>
      <c r="EG59" s="162"/>
      <c r="EH59" s="162"/>
      <c r="EI59" s="162"/>
      <c r="EJ59" s="162"/>
      <c r="EK59" s="162"/>
      <c r="EL59" s="162"/>
      <c r="EM59" s="162"/>
      <c r="EN59" s="163"/>
      <c r="EO59" s="140"/>
      <c r="EP59" s="156"/>
      <c r="EQ59" s="157"/>
      <c r="ER59" s="158"/>
      <c r="ES59" s="158"/>
      <c r="ET59" s="159"/>
      <c r="EU59" s="160"/>
      <c r="EV59" s="160"/>
      <c r="EW59" s="162"/>
      <c r="EX59" s="162"/>
      <c r="EY59" s="162"/>
      <c r="EZ59" s="162"/>
      <c r="FA59" s="162"/>
      <c r="FB59" s="162"/>
      <c r="FC59" s="162"/>
      <c r="FD59" s="162"/>
      <c r="FE59" s="162"/>
      <c r="FF59" s="162"/>
      <c r="FG59" s="162"/>
      <c r="FH59" s="162"/>
      <c r="FI59" s="162"/>
      <c r="FJ59" s="162"/>
      <c r="FK59" s="162"/>
      <c r="FL59" s="163"/>
      <c r="FM59" s="140"/>
      <c r="FN59" s="156"/>
      <c r="FO59" s="157"/>
      <c r="FP59" s="158"/>
      <c r="FQ59" s="158"/>
      <c r="FR59" s="159"/>
      <c r="FS59" s="160"/>
      <c r="FT59" s="160"/>
      <c r="FU59" s="162"/>
      <c r="FV59" s="162"/>
      <c r="FW59" s="162"/>
      <c r="FX59" s="162"/>
      <c r="FY59" s="162"/>
      <c r="FZ59" s="162"/>
      <c r="GA59" s="162"/>
      <c r="GB59" s="162"/>
      <c r="GC59" s="162"/>
      <c r="GD59" s="162"/>
      <c r="GE59" s="162"/>
      <c r="GF59" s="162"/>
      <c r="GG59" s="162"/>
      <c r="GH59" s="162"/>
      <c r="GI59" s="162"/>
      <c r="GJ59" s="163"/>
      <c r="GK59" s="140"/>
      <c r="GL59" s="156"/>
      <c r="GM59" s="157"/>
      <c r="GN59" s="158"/>
      <c r="GO59" s="158"/>
      <c r="GP59" s="159"/>
      <c r="GQ59" s="160"/>
      <c r="GR59" s="160"/>
      <c r="GS59" s="162"/>
      <c r="GT59" s="162"/>
      <c r="GU59" s="162"/>
      <c r="GV59" s="162"/>
      <c r="GW59" s="162"/>
      <c r="GX59" s="162"/>
      <c r="GY59" s="162"/>
      <c r="GZ59" s="162"/>
      <c r="HA59" s="162"/>
      <c r="HB59" s="162"/>
      <c r="HC59" s="162"/>
      <c r="HD59" s="162"/>
      <c r="HE59" s="162"/>
      <c r="HF59" s="162"/>
      <c r="HG59" s="162"/>
      <c r="HH59" s="163"/>
      <c r="HI59" s="140"/>
      <c r="HJ59" s="156"/>
      <c r="HK59" s="157"/>
      <c r="HL59" s="158"/>
      <c r="HM59" s="158"/>
      <c r="HN59" s="159"/>
      <c r="HO59" s="160"/>
      <c r="HP59" s="160"/>
      <c r="HQ59" s="162"/>
      <c r="HR59" s="162"/>
      <c r="HS59" s="162"/>
      <c r="HT59" s="162"/>
      <c r="HU59" s="162"/>
      <c r="HV59" s="162"/>
      <c r="HW59" s="162"/>
      <c r="HX59" s="162"/>
      <c r="HY59" s="162"/>
      <c r="HZ59" s="162"/>
      <c r="IA59" s="162"/>
      <c r="IB59" s="162"/>
      <c r="IC59" s="162"/>
      <c r="ID59" s="162"/>
      <c r="IE59" s="162"/>
      <c r="IF59" s="163"/>
      <c r="IG59" s="140"/>
      <c r="IH59" s="156"/>
      <c r="II59" s="157"/>
      <c r="IJ59" s="158"/>
      <c r="IK59" s="158"/>
      <c r="IL59" s="159"/>
      <c r="IM59" s="160"/>
      <c r="IN59" s="160"/>
      <c r="IO59" s="162"/>
      <c r="IP59" s="162"/>
      <c r="IQ59" s="162"/>
      <c r="IR59" s="162"/>
      <c r="IS59" s="162"/>
      <c r="IT59" s="162"/>
      <c r="IU59" s="162"/>
      <c r="IV59" s="162"/>
    </row>
    <row r="60" spans="1:256" s="141" customFormat="1" x14ac:dyDescent="0.25">
      <c r="A60" s="138">
        <v>6.1</v>
      </c>
      <c r="B60" s="165" t="s">
        <v>405</v>
      </c>
      <c r="C60" s="110">
        <v>7250010</v>
      </c>
      <c r="D60" s="43" t="s">
        <v>41</v>
      </c>
      <c r="E60" s="43"/>
      <c r="F60" s="110">
        <v>796</v>
      </c>
      <c r="G60" s="129" t="s">
        <v>17</v>
      </c>
      <c r="H60" s="129">
        <v>700</v>
      </c>
      <c r="I60" s="151">
        <v>98401</v>
      </c>
      <c r="J60" s="83" t="s">
        <v>429</v>
      </c>
      <c r="K60" s="24">
        <v>1280000</v>
      </c>
      <c r="L60" s="24"/>
      <c r="M60" s="24"/>
      <c r="N60" s="24"/>
      <c r="O60" s="24"/>
      <c r="P60" s="83">
        <v>550</v>
      </c>
      <c r="Q60" s="83">
        <v>1070000</v>
      </c>
      <c r="R60" s="83">
        <v>50</v>
      </c>
      <c r="S60" s="83">
        <v>70000</v>
      </c>
      <c r="T60" s="83">
        <v>50</v>
      </c>
      <c r="U60" s="83">
        <v>70000</v>
      </c>
      <c r="V60" s="83">
        <v>50</v>
      </c>
      <c r="W60" s="83">
        <v>70000</v>
      </c>
      <c r="X60" s="167"/>
      <c r="Y60" s="168"/>
      <c r="Z60" s="168"/>
      <c r="AA60" s="168"/>
      <c r="AB60" s="168"/>
      <c r="AC60" s="168"/>
      <c r="AD60" s="168"/>
      <c r="AE60" s="168"/>
    </row>
    <row r="61" spans="1:256" s="164" customFormat="1" ht="14.25" x14ac:dyDescent="0.2">
      <c r="A61" s="140">
        <v>7</v>
      </c>
      <c r="B61" s="156"/>
      <c r="C61" s="157"/>
      <c r="D61" s="158" t="s">
        <v>42</v>
      </c>
      <c r="E61" s="158"/>
      <c r="F61" s="159"/>
      <c r="G61" s="160"/>
      <c r="H61" s="160"/>
      <c r="I61" s="161"/>
      <c r="J61" s="162"/>
      <c r="K61" s="162"/>
      <c r="L61" s="162"/>
      <c r="M61" s="162"/>
      <c r="N61" s="162"/>
      <c r="O61" s="162"/>
      <c r="P61" s="162"/>
      <c r="Q61" s="162"/>
      <c r="R61" s="162"/>
      <c r="S61" s="162"/>
      <c r="T61" s="162"/>
      <c r="U61" s="162"/>
      <c r="V61" s="162"/>
      <c r="W61" s="162"/>
      <c r="X61" s="163"/>
      <c r="Y61" s="140"/>
      <c r="Z61" s="156"/>
      <c r="AA61" s="157"/>
      <c r="AB61" s="158"/>
      <c r="AC61" s="158"/>
      <c r="AD61" s="159"/>
      <c r="AE61" s="160"/>
      <c r="AF61" s="160"/>
      <c r="AG61" s="162"/>
      <c r="AH61" s="162"/>
      <c r="AI61" s="162"/>
      <c r="AJ61" s="162"/>
      <c r="AK61" s="162"/>
      <c r="AL61" s="162"/>
      <c r="AM61" s="162"/>
      <c r="AN61" s="162"/>
      <c r="AO61" s="162"/>
      <c r="AP61" s="162"/>
      <c r="AQ61" s="162"/>
      <c r="AR61" s="162"/>
      <c r="AS61" s="162"/>
      <c r="AT61" s="162"/>
      <c r="AU61" s="162"/>
      <c r="AV61" s="163"/>
      <c r="AW61" s="140"/>
      <c r="AX61" s="156"/>
      <c r="AY61" s="157"/>
      <c r="AZ61" s="158"/>
      <c r="BA61" s="158"/>
      <c r="BB61" s="159"/>
      <c r="BC61" s="160"/>
      <c r="BD61" s="160"/>
      <c r="BE61" s="162"/>
      <c r="BF61" s="162"/>
      <c r="BG61" s="162"/>
      <c r="BH61" s="162"/>
      <c r="BI61" s="162"/>
      <c r="BJ61" s="162"/>
      <c r="BK61" s="162"/>
      <c r="BL61" s="162"/>
      <c r="BM61" s="162"/>
      <c r="BN61" s="162"/>
      <c r="BO61" s="162"/>
      <c r="BP61" s="162"/>
      <c r="BQ61" s="162"/>
      <c r="BR61" s="162"/>
      <c r="BS61" s="162"/>
      <c r="BT61" s="163"/>
      <c r="BU61" s="140"/>
      <c r="BV61" s="156"/>
      <c r="BW61" s="157"/>
      <c r="BX61" s="158"/>
      <c r="BY61" s="158"/>
      <c r="BZ61" s="159"/>
      <c r="CA61" s="160"/>
      <c r="CB61" s="160"/>
      <c r="CC61" s="162"/>
      <c r="CD61" s="162"/>
      <c r="CE61" s="162"/>
      <c r="CF61" s="162"/>
      <c r="CG61" s="162"/>
      <c r="CH61" s="162"/>
      <c r="CI61" s="162"/>
      <c r="CJ61" s="162"/>
      <c r="CK61" s="162"/>
      <c r="CL61" s="162"/>
      <c r="CM61" s="162"/>
      <c r="CN61" s="162"/>
      <c r="CO61" s="162"/>
      <c r="CP61" s="162"/>
      <c r="CQ61" s="162"/>
      <c r="CR61" s="163"/>
      <c r="CS61" s="140"/>
      <c r="CT61" s="156"/>
      <c r="CU61" s="157"/>
      <c r="CV61" s="158"/>
      <c r="CW61" s="158"/>
      <c r="CX61" s="159"/>
      <c r="CY61" s="160"/>
      <c r="CZ61" s="160"/>
      <c r="DA61" s="162"/>
      <c r="DB61" s="162"/>
      <c r="DC61" s="162"/>
      <c r="DD61" s="162"/>
      <c r="DE61" s="162"/>
      <c r="DF61" s="162"/>
      <c r="DG61" s="162"/>
      <c r="DH61" s="162"/>
      <c r="DI61" s="162"/>
      <c r="DJ61" s="162"/>
      <c r="DK61" s="162"/>
      <c r="DL61" s="162"/>
      <c r="DM61" s="162"/>
      <c r="DN61" s="162"/>
      <c r="DO61" s="162"/>
      <c r="DP61" s="163"/>
      <c r="DQ61" s="140"/>
      <c r="DR61" s="156"/>
      <c r="DS61" s="157"/>
      <c r="DT61" s="158"/>
      <c r="DU61" s="158"/>
      <c r="DV61" s="159"/>
      <c r="DW61" s="160"/>
      <c r="DX61" s="160"/>
      <c r="DY61" s="162"/>
      <c r="DZ61" s="162"/>
      <c r="EA61" s="162"/>
      <c r="EB61" s="162"/>
      <c r="EC61" s="162"/>
      <c r="ED61" s="162"/>
      <c r="EE61" s="162"/>
      <c r="EF61" s="162"/>
      <c r="EG61" s="162"/>
      <c r="EH61" s="162"/>
      <c r="EI61" s="162"/>
      <c r="EJ61" s="162"/>
      <c r="EK61" s="162"/>
      <c r="EL61" s="162"/>
      <c r="EM61" s="162"/>
      <c r="EN61" s="163"/>
      <c r="EO61" s="140"/>
      <c r="EP61" s="156"/>
      <c r="EQ61" s="157"/>
      <c r="ER61" s="158"/>
      <c r="ES61" s="158"/>
      <c r="ET61" s="159"/>
      <c r="EU61" s="160"/>
      <c r="EV61" s="160"/>
      <c r="EW61" s="162"/>
      <c r="EX61" s="162"/>
      <c r="EY61" s="162"/>
      <c r="EZ61" s="162"/>
      <c r="FA61" s="162"/>
      <c r="FB61" s="162"/>
      <c r="FC61" s="162"/>
      <c r="FD61" s="162"/>
      <c r="FE61" s="162"/>
      <c r="FF61" s="162"/>
      <c r="FG61" s="162"/>
      <c r="FH61" s="162"/>
      <c r="FI61" s="162"/>
      <c r="FJ61" s="162"/>
      <c r="FK61" s="162"/>
      <c r="FL61" s="163"/>
      <c r="FM61" s="140"/>
      <c r="FN61" s="156"/>
      <c r="FO61" s="157"/>
      <c r="FP61" s="158"/>
      <c r="FQ61" s="158"/>
      <c r="FR61" s="159"/>
      <c r="FS61" s="160"/>
      <c r="FT61" s="160"/>
      <c r="FU61" s="162"/>
      <c r="FV61" s="162"/>
      <c r="FW61" s="162"/>
      <c r="FX61" s="162"/>
      <c r="FY61" s="162"/>
      <c r="FZ61" s="162"/>
      <c r="GA61" s="162"/>
      <c r="GB61" s="162"/>
      <c r="GC61" s="162"/>
      <c r="GD61" s="162"/>
      <c r="GE61" s="162"/>
      <c r="GF61" s="162"/>
      <c r="GG61" s="162"/>
      <c r="GH61" s="162"/>
      <c r="GI61" s="162"/>
      <c r="GJ61" s="163"/>
      <c r="GK61" s="140"/>
      <c r="GL61" s="156"/>
      <c r="GM61" s="157"/>
      <c r="GN61" s="158"/>
      <c r="GO61" s="158"/>
      <c r="GP61" s="159"/>
      <c r="GQ61" s="160"/>
      <c r="GR61" s="160"/>
      <c r="GS61" s="162"/>
      <c r="GT61" s="162"/>
      <c r="GU61" s="162"/>
      <c r="GV61" s="162"/>
      <c r="GW61" s="162"/>
      <c r="GX61" s="162"/>
      <c r="GY61" s="162"/>
      <c r="GZ61" s="162"/>
      <c r="HA61" s="162"/>
      <c r="HB61" s="162"/>
      <c r="HC61" s="162"/>
      <c r="HD61" s="162"/>
      <c r="HE61" s="162"/>
      <c r="HF61" s="162"/>
      <c r="HG61" s="162"/>
      <c r="HH61" s="163"/>
      <c r="HI61" s="140"/>
      <c r="HJ61" s="156"/>
      <c r="HK61" s="157"/>
      <c r="HL61" s="158"/>
      <c r="HM61" s="158"/>
      <c r="HN61" s="159"/>
      <c r="HO61" s="160"/>
      <c r="HP61" s="160"/>
      <c r="HQ61" s="162"/>
      <c r="HR61" s="162"/>
      <c r="HS61" s="162"/>
      <c r="HT61" s="162"/>
      <c r="HU61" s="162"/>
      <c r="HV61" s="162"/>
      <c r="HW61" s="162"/>
      <c r="HX61" s="162"/>
      <c r="HY61" s="162"/>
      <c r="HZ61" s="162"/>
      <c r="IA61" s="162"/>
      <c r="IB61" s="162"/>
      <c r="IC61" s="162"/>
      <c r="ID61" s="162"/>
      <c r="IE61" s="162"/>
      <c r="IF61" s="163"/>
      <c r="IG61" s="140"/>
      <c r="IH61" s="156"/>
      <c r="II61" s="157"/>
      <c r="IJ61" s="158"/>
      <c r="IK61" s="158"/>
      <c r="IL61" s="159"/>
      <c r="IM61" s="160"/>
      <c r="IN61" s="160"/>
      <c r="IO61" s="162"/>
      <c r="IP61" s="162"/>
      <c r="IQ61" s="162"/>
      <c r="IR61" s="162"/>
      <c r="IS61" s="162"/>
      <c r="IT61" s="162"/>
      <c r="IU61" s="162"/>
      <c r="IV61" s="162"/>
    </row>
    <row r="62" spans="1:256" s="141" customFormat="1" ht="30" x14ac:dyDescent="0.25">
      <c r="A62" s="138">
        <v>7.1</v>
      </c>
      <c r="B62" s="165" t="s">
        <v>421</v>
      </c>
      <c r="C62" s="110">
        <v>4520080</v>
      </c>
      <c r="D62" s="80" t="s">
        <v>43</v>
      </c>
      <c r="E62" s="80"/>
      <c r="F62" s="110">
        <v>796</v>
      </c>
      <c r="G62" s="81" t="s">
        <v>17</v>
      </c>
      <c r="H62" s="81">
        <v>1</v>
      </c>
      <c r="I62" s="151">
        <v>98227</v>
      </c>
      <c r="J62" s="24" t="s">
        <v>430</v>
      </c>
      <c r="K62" s="83">
        <v>2668442</v>
      </c>
      <c r="L62" s="83"/>
      <c r="M62" s="83"/>
      <c r="N62" s="83"/>
      <c r="O62" s="83"/>
      <c r="P62" s="83"/>
      <c r="Q62" s="83"/>
      <c r="R62" s="83"/>
      <c r="S62" s="83"/>
      <c r="T62" s="83">
        <v>1</v>
      </c>
      <c r="U62" s="83">
        <v>200000</v>
      </c>
      <c r="V62" s="83">
        <v>1</v>
      </c>
      <c r="W62" s="83">
        <v>2468442</v>
      </c>
      <c r="X62" s="167"/>
      <c r="Y62" s="168"/>
      <c r="Z62" s="168"/>
      <c r="AA62" s="168"/>
      <c r="AB62" s="168"/>
      <c r="AC62" s="168"/>
      <c r="AD62" s="168"/>
      <c r="AE62" s="168"/>
    </row>
    <row r="63" spans="1:256" s="141" customFormat="1" ht="30" x14ac:dyDescent="0.25">
      <c r="A63" s="138">
        <v>7.2</v>
      </c>
      <c r="B63" s="186" t="s">
        <v>421</v>
      </c>
      <c r="C63" s="11">
        <v>4520080</v>
      </c>
      <c r="D63" s="80" t="s">
        <v>333</v>
      </c>
      <c r="E63" s="80"/>
      <c r="F63" s="110">
        <v>796</v>
      </c>
      <c r="G63" s="81" t="s">
        <v>17</v>
      </c>
      <c r="H63" s="81">
        <v>43</v>
      </c>
      <c r="I63" s="151">
        <v>98401</v>
      </c>
      <c r="J63" s="83" t="s">
        <v>429</v>
      </c>
      <c r="K63" s="83">
        <v>840000</v>
      </c>
      <c r="L63" s="83"/>
      <c r="M63" s="83"/>
      <c r="N63" s="83"/>
      <c r="O63" s="83"/>
      <c r="P63" s="83"/>
      <c r="Q63" s="83"/>
      <c r="R63" s="83"/>
      <c r="S63" s="83"/>
      <c r="T63" s="83">
        <v>43</v>
      </c>
      <c r="U63" s="26">
        <v>840000</v>
      </c>
      <c r="V63" s="83"/>
      <c r="W63" s="83"/>
      <c r="X63" s="167"/>
      <c r="Y63" s="168"/>
      <c r="Z63" s="168"/>
      <c r="AA63" s="168"/>
      <c r="AB63" s="168"/>
      <c r="AC63" s="168"/>
      <c r="AD63" s="168"/>
      <c r="AE63" s="168"/>
    </row>
    <row r="64" spans="1:256" s="141" customFormat="1" x14ac:dyDescent="0.25">
      <c r="A64" s="138">
        <v>7.3</v>
      </c>
      <c r="B64" s="165" t="s">
        <v>406</v>
      </c>
      <c r="C64" s="110"/>
      <c r="D64" s="80" t="s">
        <v>44</v>
      </c>
      <c r="E64" s="80"/>
      <c r="F64" s="110">
        <v>796</v>
      </c>
      <c r="G64" s="81" t="s">
        <v>17</v>
      </c>
      <c r="H64" s="81">
        <v>1</v>
      </c>
      <c r="I64" s="151">
        <v>98401</v>
      </c>
      <c r="J64" s="83" t="s">
        <v>429</v>
      </c>
      <c r="K64" s="83">
        <v>50000</v>
      </c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>
        <v>1</v>
      </c>
      <c r="W64" s="83">
        <v>50000</v>
      </c>
      <c r="X64" s="167"/>
      <c r="Y64" s="168"/>
      <c r="Z64" s="168"/>
      <c r="AA64" s="168"/>
      <c r="AB64" s="168"/>
      <c r="AC64" s="168"/>
      <c r="AD64" s="168"/>
      <c r="AE64" s="168"/>
    </row>
    <row r="65" spans="1:256" s="168" customFormat="1" ht="30" x14ac:dyDescent="0.25">
      <c r="A65" s="138">
        <v>7.4</v>
      </c>
      <c r="B65" s="186" t="s">
        <v>421</v>
      </c>
      <c r="C65" s="11">
        <v>4520080</v>
      </c>
      <c r="D65" s="43" t="s">
        <v>45</v>
      </c>
      <c r="E65" s="43"/>
      <c r="F65" s="110">
        <v>796</v>
      </c>
      <c r="G65" s="81" t="s">
        <v>17</v>
      </c>
      <c r="H65" s="81">
        <v>1</v>
      </c>
      <c r="I65" s="151">
        <v>98204</v>
      </c>
      <c r="J65" s="83" t="s">
        <v>431</v>
      </c>
      <c r="K65" s="24">
        <v>200000</v>
      </c>
      <c r="L65" s="24"/>
      <c r="M65" s="24"/>
      <c r="N65" s="24"/>
      <c r="O65" s="24"/>
      <c r="P65" s="83"/>
      <c r="Q65" s="83"/>
      <c r="R65" s="83"/>
      <c r="S65" s="83"/>
      <c r="T65" s="83">
        <v>1</v>
      </c>
      <c r="U65" s="83">
        <v>200000</v>
      </c>
      <c r="V65" s="83"/>
      <c r="W65" s="83"/>
      <c r="X65" s="167"/>
    </row>
    <row r="66" spans="1:256" s="168" customFormat="1" x14ac:dyDescent="0.25">
      <c r="A66" s="138">
        <v>7.5</v>
      </c>
      <c r="B66" s="186" t="s">
        <v>421</v>
      </c>
      <c r="C66" s="11">
        <v>4520080</v>
      </c>
      <c r="D66" s="43" t="s">
        <v>46</v>
      </c>
      <c r="E66" s="43"/>
      <c r="F66" s="110">
        <v>796</v>
      </c>
      <c r="G66" s="81" t="s">
        <v>17</v>
      </c>
      <c r="H66" s="81">
        <v>1</v>
      </c>
      <c r="I66" s="151">
        <v>98401</v>
      </c>
      <c r="J66" s="83" t="s">
        <v>429</v>
      </c>
      <c r="K66" s="24">
        <v>126277</v>
      </c>
      <c r="L66" s="24"/>
      <c r="M66" s="24"/>
      <c r="N66" s="24"/>
      <c r="O66" s="24"/>
      <c r="P66" s="83"/>
      <c r="Q66" s="83"/>
      <c r="R66" s="83"/>
      <c r="S66" s="83"/>
      <c r="T66" s="83">
        <v>1</v>
      </c>
      <c r="U66" s="83">
        <v>126277.49</v>
      </c>
      <c r="V66" s="83"/>
      <c r="W66" s="83"/>
      <c r="X66" s="167"/>
    </row>
    <row r="67" spans="1:256" s="168" customFormat="1" ht="45" x14ac:dyDescent="0.25">
      <c r="A67" s="138">
        <v>7.6</v>
      </c>
      <c r="B67" s="186" t="s">
        <v>421</v>
      </c>
      <c r="C67" s="11">
        <v>4520080</v>
      </c>
      <c r="D67" s="43" t="s">
        <v>47</v>
      </c>
      <c r="E67" s="43"/>
      <c r="F67" s="110">
        <v>796</v>
      </c>
      <c r="G67" s="81" t="s">
        <v>17</v>
      </c>
      <c r="H67" s="81">
        <v>1</v>
      </c>
      <c r="I67" s="151">
        <v>98258</v>
      </c>
      <c r="J67" s="83" t="s">
        <v>435</v>
      </c>
      <c r="K67" s="24">
        <v>220000</v>
      </c>
      <c r="L67" s="24"/>
      <c r="M67" s="24"/>
      <c r="N67" s="24"/>
      <c r="O67" s="24"/>
      <c r="P67" s="83"/>
      <c r="Q67" s="83"/>
      <c r="R67" s="83"/>
      <c r="S67" s="83"/>
      <c r="T67" s="83"/>
      <c r="U67" s="83"/>
      <c r="V67" s="83">
        <v>1</v>
      </c>
      <c r="W67" s="83">
        <v>220000</v>
      </c>
      <c r="X67" s="167"/>
    </row>
    <row r="68" spans="1:256" s="168" customFormat="1" x14ac:dyDescent="0.25">
      <c r="A68" s="138">
        <v>7.7</v>
      </c>
      <c r="B68" s="186" t="s">
        <v>421</v>
      </c>
      <c r="C68" s="11">
        <v>4520080</v>
      </c>
      <c r="D68" s="43" t="s">
        <v>48</v>
      </c>
      <c r="E68" s="43"/>
      <c r="F68" s="110">
        <v>796</v>
      </c>
      <c r="G68" s="81" t="s">
        <v>17</v>
      </c>
      <c r="H68" s="81">
        <v>1</v>
      </c>
      <c r="I68" s="151">
        <v>98254551</v>
      </c>
      <c r="J68" s="24" t="s">
        <v>442</v>
      </c>
      <c r="K68" s="24">
        <v>40000</v>
      </c>
      <c r="L68" s="24"/>
      <c r="M68" s="24"/>
      <c r="N68" s="24"/>
      <c r="O68" s="24"/>
      <c r="P68" s="83"/>
      <c r="Q68" s="83"/>
      <c r="R68" s="83"/>
      <c r="S68" s="83"/>
      <c r="T68" s="83"/>
      <c r="U68" s="83"/>
      <c r="V68" s="83">
        <v>1</v>
      </c>
      <c r="W68" s="83">
        <v>40000</v>
      </c>
      <c r="X68" s="167"/>
    </row>
    <row r="69" spans="1:256" s="168" customFormat="1" x14ac:dyDescent="0.25">
      <c r="A69" s="138">
        <v>7.8</v>
      </c>
      <c r="B69" s="186" t="s">
        <v>421</v>
      </c>
      <c r="C69" s="11">
        <v>4520080</v>
      </c>
      <c r="D69" s="43" t="s">
        <v>49</v>
      </c>
      <c r="E69" s="43"/>
      <c r="F69" s="110">
        <v>796</v>
      </c>
      <c r="G69" s="81" t="s">
        <v>17</v>
      </c>
      <c r="H69" s="81">
        <v>1</v>
      </c>
      <c r="I69" s="151">
        <v>98401</v>
      </c>
      <c r="J69" s="83" t="s">
        <v>429</v>
      </c>
      <c r="K69" s="24">
        <v>266528</v>
      </c>
      <c r="L69" s="24"/>
      <c r="M69" s="24"/>
      <c r="N69" s="24"/>
      <c r="O69" s="24"/>
      <c r="P69" s="83"/>
      <c r="Q69" s="83"/>
      <c r="R69" s="83"/>
      <c r="S69" s="83"/>
      <c r="T69" s="83">
        <v>1</v>
      </c>
      <c r="U69" s="83">
        <v>66528</v>
      </c>
      <c r="V69" s="83">
        <v>1</v>
      </c>
      <c r="W69" s="83">
        <v>200000</v>
      </c>
      <c r="X69" s="167"/>
    </row>
    <row r="70" spans="1:256" s="168" customFormat="1" x14ac:dyDescent="0.25">
      <c r="A70" s="138">
        <v>7.9</v>
      </c>
      <c r="B70" s="186" t="s">
        <v>421</v>
      </c>
      <c r="C70" s="11">
        <v>4520080</v>
      </c>
      <c r="D70" s="43" t="s">
        <v>50</v>
      </c>
      <c r="E70" s="43"/>
      <c r="F70" s="110">
        <v>796</v>
      </c>
      <c r="G70" s="81" t="s">
        <v>17</v>
      </c>
      <c r="H70" s="81">
        <v>1</v>
      </c>
      <c r="I70" s="151">
        <v>98406</v>
      </c>
      <c r="J70" s="174" t="s">
        <v>441</v>
      </c>
      <c r="K70" s="24">
        <v>240000</v>
      </c>
      <c r="L70" s="24"/>
      <c r="M70" s="24"/>
      <c r="N70" s="24"/>
      <c r="O70" s="24"/>
      <c r="P70" s="83"/>
      <c r="Q70" s="83"/>
      <c r="R70" s="83"/>
      <c r="S70" s="83"/>
      <c r="T70" s="83">
        <v>1</v>
      </c>
      <c r="U70" s="83">
        <v>150000</v>
      </c>
      <c r="V70" s="83">
        <v>1</v>
      </c>
      <c r="W70" s="83">
        <v>90000</v>
      </c>
      <c r="X70" s="167"/>
    </row>
    <row r="71" spans="1:256" s="168" customFormat="1" x14ac:dyDescent="0.25">
      <c r="A71" s="138">
        <v>7.1</v>
      </c>
      <c r="B71" s="186" t="s">
        <v>421</v>
      </c>
      <c r="C71" s="11">
        <v>4520080</v>
      </c>
      <c r="D71" s="43" t="s">
        <v>51</v>
      </c>
      <c r="E71" s="43"/>
      <c r="F71" s="110">
        <v>796</v>
      </c>
      <c r="G71" s="81" t="s">
        <v>17</v>
      </c>
      <c r="H71" s="81">
        <v>1</v>
      </c>
      <c r="I71" s="169">
        <v>98409</v>
      </c>
      <c r="J71" s="83" t="s">
        <v>447</v>
      </c>
      <c r="K71" s="24">
        <v>200000</v>
      </c>
      <c r="L71" s="24"/>
      <c r="M71" s="24"/>
      <c r="N71" s="24"/>
      <c r="O71" s="24"/>
      <c r="P71" s="83"/>
      <c r="Q71" s="83"/>
      <c r="R71" s="83"/>
      <c r="S71" s="83"/>
      <c r="T71" s="83"/>
      <c r="U71" s="83"/>
      <c r="V71" s="83">
        <v>1</v>
      </c>
      <c r="W71" s="83">
        <v>200000</v>
      </c>
      <c r="X71" s="167"/>
    </row>
    <row r="72" spans="1:256" s="168" customFormat="1" x14ac:dyDescent="0.25">
      <c r="A72" s="138">
        <v>7.11</v>
      </c>
      <c r="B72" s="186"/>
      <c r="C72" s="11"/>
      <c r="D72" s="43" t="s">
        <v>353</v>
      </c>
      <c r="E72" s="43"/>
      <c r="F72" s="11">
        <v>362</v>
      </c>
      <c r="G72" s="81" t="s">
        <v>22</v>
      </c>
      <c r="H72" s="81">
        <v>9</v>
      </c>
      <c r="I72" s="151">
        <v>98401</v>
      </c>
      <c r="J72" s="83" t="s">
        <v>429</v>
      </c>
      <c r="K72" s="24">
        <v>225000</v>
      </c>
      <c r="L72" s="24"/>
      <c r="M72" s="24"/>
      <c r="N72" s="24"/>
      <c r="O72" s="24"/>
      <c r="P72" s="83"/>
      <c r="Q72" s="83"/>
      <c r="R72" s="83">
        <v>3</v>
      </c>
      <c r="S72" s="83">
        <v>75000</v>
      </c>
      <c r="T72" s="83">
        <v>3</v>
      </c>
      <c r="U72" s="83">
        <v>75000</v>
      </c>
      <c r="V72" s="83">
        <v>3</v>
      </c>
      <c r="W72" s="83">
        <v>75000</v>
      </c>
      <c r="X72" s="167"/>
    </row>
    <row r="73" spans="1:256" s="168" customFormat="1" x14ac:dyDescent="0.25">
      <c r="A73" s="138">
        <v>7.12</v>
      </c>
      <c r="B73" s="186" t="s">
        <v>421</v>
      </c>
      <c r="C73" s="11">
        <v>4520080</v>
      </c>
      <c r="D73" s="43" t="s">
        <v>360</v>
      </c>
      <c r="E73" s="43"/>
      <c r="F73" s="110">
        <v>796</v>
      </c>
      <c r="G73" s="81" t="s">
        <v>17</v>
      </c>
      <c r="H73" s="81">
        <v>1</v>
      </c>
      <c r="I73" s="151">
        <v>98401</v>
      </c>
      <c r="J73" s="83" t="s">
        <v>429</v>
      </c>
      <c r="K73" s="24">
        <v>2400000</v>
      </c>
      <c r="L73" s="24"/>
      <c r="M73" s="24"/>
      <c r="N73" s="24"/>
      <c r="O73" s="24"/>
      <c r="P73" s="83"/>
      <c r="Q73" s="83"/>
      <c r="R73" s="83"/>
      <c r="S73" s="83"/>
      <c r="T73" s="83">
        <v>1</v>
      </c>
      <c r="U73" s="83">
        <v>400000</v>
      </c>
      <c r="V73" s="83">
        <v>1</v>
      </c>
      <c r="W73" s="83">
        <v>2000000</v>
      </c>
      <c r="X73" s="167"/>
    </row>
    <row r="74" spans="1:256" s="168" customFormat="1" x14ac:dyDescent="0.25">
      <c r="A74" s="138"/>
      <c r="B74" s="186"/>
      <c r="C74" s="11"/>
      <c r="D74" s="177"/>
      <c r="E74" s="177"/>
      <c r="F74" s="37"/>
      <c r="G74" s="179"/>
      <c r="H74" s="179"/>
      <c r="I74" s="180"/>
      <c r="J74" s="45"/>
      <c r="K74" s="45">
        <v>7476247</v>
      </c>
      <c r="L74" s="45"/>
      <c r="M74" s="45"/>
      <c r="N74" s="45"/>
      <c r="O74" s="45"/>
      <c r="P74" s="83"/>
      <c r="Q74" s="83"/>
      <c r="R74" s="83"/>
      <c r="S74" s="45">
        <v>75000</v>
      </c>
      <c r="T74" s="83"/>
      <c r="U74" s="45">
        <v>2057805.49</v>
      </c>
      <c r="V74" s="83"/>
      <c r="W74" s="170">
        <v>5343442</v>
      </c>
      <c r="X74" s="167"/>
      <c r="Y74" s="171"/>
      <c r="Z74" s="171"/>
    </row>
    <row r="75" spans="1:256" s="164" customFormat="1" ht="14.25" x14ac:dyDescent="0.2">
      <c r="A75" s="140">
        <v>8</v>
      </c>
      <c r="B75" s="156"/>
      <c r="C75" s="157"/>
      <c r="D75" s="158" t="s">
        <v>52</v>
      </c>
      <c r="E75" s="158"/>
      <c r="F75" s="159"/>
      <c r="G75" s="160"/>
      <c r="H75" s="160"/>
      <c r="I75" s="161"/>
      <c r="J75" s="162"/>
      <c r="K75" s="162"/>
      <c r="L75" s="162"/>
      <c r="M75" s="162"/>
      <c r="N75" s="162"/>
      <c r="O75" s="162"/>
      <c r="P75" s="162"/>
      <c r="Q75" s="162"/>
      <c r="R75" s="162"/>
      <c r="S75" s="162"/>
      <c r="T75" s="162"/>
      <c r="U75" s="162"/>
      <c r="V75" s="162"/>
      <c r="W75" s="162"/>
      <c r="X75" s="163"/>
      <c r="Y75" s="140"/>
      <c r="Z75" s="156"/>
      <c r="AA75" s="157"/>
      <c r="AB75" s="158"/>
      <c r="AC75" s="158"/>
      <c r="AD75" s="159"/>
      <c r="AE75" s="160"/>
      <c r="AF75" s="160"/>
      <c r="AG75" s="162"/>
      <c r="AH75" s="162"/>
      <c r="AI75" s="162"/>
      <c r="AJ75" s="162"/>
      <c r="AK75" s="162"/>
      <c r="AL75" s="162"/>
      <c r="AM75" s="162"/>
      <c r="AN75" s="162"/>
      <c r="AO75" s="162"/>
      <c r="AP75" s="162"/>
      <c r="AQ75" s="162"/>
      <c r="AR75" s="162"/>
      <c r="AS75" s="162"/>
      <c r="AT75" s="162"/>
      <c r="AU75" s="162"/>
      <c r="AV75" s="163"/>
      <c r="AW75" s="140"/>
      <c r="AX75" s="156"/>
      <c r="AY75" s="157"/>
      <c r="AZ75" s="158"/>
      <c r="BA75" s="158"/>
      <c r="BB75" s="159"/>
      <c r="BC75" s="160"/>
      <c r="BD75" s="160"/>
      <c r="BE75" s="162"/>
      <c r="BF75" s="162"/>
      <c r="BG75" s="162"/>
      <c r="BH75" s="162"/>
      <c r="BI75" s="162"/>
      <c r="BJ75" s="162"/>
      <c r="BK75" s="162"/>
      <c r="BL75" s="162"/>
      <c r="BM75" s="162"/>
      <c r="BN75" s="162"/>
      <c r="BO75" s="162"/>
      <c r="BP75" s="162"/>
      <c r="BQ75" s="162"/>
      <c r="BR75" s="162"/>
      <c r="BS75" s="162"/>
      <c r="BT75" s="163"/>
      <c r="BU75" s="140"/>
      <c r="BV75" s="156"/>
      <c r="BW75" s="157"/>
      <c r="BX75" s="158"/>
      <c r="BY75" s="158"/>
      <c r="BZ75" s="159"/>
      <c r="CA75" s="160"/>
      <c r="CB75" s="160"/>
      <c r="CC75" s="162"/>
      <c r="CD75" s="162"/>
      <c r="CE75" s="162"/>
      <c r="CF75" s="162"/>
      <c r="CG75" s="162"/>
      <c r="CH75" s="162"/>
      <c r="CI75" s="162"/>
      <c r="CJ75" s="162"/>
      <c r="CK75" s="162"/>
      <c r="CL75" s="162"/>
      <c r="CM75" s="162"/>
      <c r="CN75" s="162"/>
      <c r="CO75" s="162"/>
      <c r="CP75" s="162"/>
      <c r="CQ75" s="162"/>
      <c r="CR75" s="163"/>
      <c r="CS75" s="140"/>
      <c r="CT75" s="156"/>
      <c r="CU75" s="157"/>
      <c r="CV75" s="158"/>
      <c r="CW75" s="158"/>
      <c r="CX75" s="159"/>
      <c r="CY75" s="160"/>
      <c r="CZ75" s="160"/>
      <c r="DA75" s="162"/>
      <c r="DB75" s="162"/>
      <c r="DC75" s="162"/>
      <c r="DD75" s="162"/>
      <c r="DE75" s="162"/>
      <c r="DF75" s="162"/>
      <c r="DG75" s="162"/>
      <c r="DH75" s="162"/>
      <c r="DI75" s="162"/>
      <c r="DJ75" s="162"/>
      <c r="DK75" s="162"/>
      <c r="DL75" s="162"/>
      <c r="DM75" s="162"/>
      <c r="DN75" s="162"/>
      <c r="DO75" s="162"/>
      <c r="DP75" s="163"/>
      <c r="DQ75" s="140"/>
      <c r="DR75" s="156"/>
      <c r="DS75" s="157"/>
      <c r="DT75" s="158"/>
      <c r="DU75" s="158"/>
      <c r="DV75" s="159"/>
      <c r="DW75" s="160"/>
      <c r="DX75" s="160"/>
      <c r="DY75" s="162"/>
      <c r="DZ75" s="162"/>
      <c r="EA75" s="162"/>
      <c r="EB75" s="162"/>
      <c r="EC75" s="162"/>
      <c r="ED75" s="162"/>
      <c r="EE75" s="162"/>
      <c r="EF75" s="162"/>
      <c r="EG75" s="162"/>
      <c r="EH75" s="162"/>
      <c r="EI75" s="162"/>
      <c r="EJ75" s="162"/>
      <c r="EK75" s="162"/>
      <c r="EL75" s="162"/>
      <c r="EM75" s="162"/>
      <c r="EN75" s="163"/>
      <c r="EO75" s="140"/>
      <c r="EP75" s="156"/>
      <c r="EQ75" s="157"/>
      <c r="ER75" s="158"/>
      <c r="ES75" s="158"/>
      <c r="ET75" s="159"/>
      <c r="EU75" s="160"/>
      <c r="EV75" s="160"/>
      <c r="EW75" s="162"/>
      <c r="EX75" s="162"/>
      <c r="EY75" s="162"/>
      <c r="EZ75" s="162"/>
      <c r="FA75" s="162"/>
      <c r="FB75" s="162"/>
      <c r="FC75" s="162"/>
      <c r="FD75" s="162"/>
      <c r="FE75" s="162"/>
      <c r="FF75" s="162"/>
      <c r="FG75" s="162"/>
      <c r="FH75" s="162"/>
      <c r="FI75" s="162"/>
      <c r="FJ75" s="162"/>
      <c r="FK75" s="162"/>
      <c r="FL75" s="163"/>
      <c r="FM75" s="140"/>
      <c r="FN75" s="156"/>
      <c r="FO75" s="157"/>
      <c r="FP75" s="158"/>
      <c r="FQ75" s="158"/>
      <c r="FR75" s="159"/>
      <c r="FS75" s="160"/>
      <c r="FT75" s="160"/>
      <c r="FU75" s="162"/>
      <c r="FV75" s="162"/>
      <c r="FW75" s="162"/>
      <c r="FX75" s="162"/>
      <c r="FY75" s="162"/>
      <c r="FZ75" s="162"/>
      <c r="GA75" s="162"/>
      <c r="GB75" s="162"/>
      <c r="GC75" s="162"/>
      <c r="GD75" s="162"/>
      <c r="GE75" s="162"/>
      <c r="GF75" s="162"/>
      <c r="GG75" s="162"/>
      <c r="GH75" s="162"/>
      <c r="GI75" s="162"/>
      <c r="GJ75" s="163"/>
      <c r="GK75" s="140"/>
      <c r="GL75" s="156"/>
      <c r="GM75" s="157"/>
      <c r="GN75" s="158"/>
      <c r="GO75" s="158"/>
      <c r="GP75" s="159"/>
      <c r="GQ75" s="160"/>
      <c r="GR75" s="160"/>
      <c r="GS75" s="162"/>
      <c r="GT75" s="162"/>
      <c r="GU75" s="162"/>
      <c r="GV75" s="162"/>
      <c r="GW75" s="162"/>
      <c r="GX75" s="162"/>
      <c r="GY75" s="162"/>
      <c r="GZ75" s="162"/>
      <c r="HA75" s="162"/>
      <c r="HB75" s="162"/>
      <c r="HC75" s="162"/>
      <c r="HD75" s="162"/>
      <c r="HE75" s="162"/>
      <c r="HF75" s="162"/>
      <c r="HG75" s="162"/>
      <c r="HH75" s="163"/>
      <c r="HI75" s="140"/>
      <c r="HJ75" s="156"/>
      <c r="HK75" s="157"/>
      <c r="HL75" s="158"/>
      <c r="HM75" s="158"/>
      <c r="HN75" s="159"/>
      <c r="HO75" s="160"/>
      <c r="HP75" s="160"/>
      <c r="HQ75" s="162"/>
      <c r="HR75" s="162"/>
      <c r="HS75" s="162"/>
      <c r="HT75" s="162"/>
      <c r="HU75" s="162"/>
      <c r="HV75" s="162"/>
      <c r="HW75" s="162"/>
      <c r="HX75" s="162"/>
      <c r="HY75" s="162"/>
      <c r="HZ75" s="162"/>
      <c r="IA75" s="162"/>
      <c r="IB75" s="162"/>
      <c r="IC75" s="162"/>
      <c r="ID75" s="162"/>
      <c r="IE75" s="162"/>
      <c r="IF75" s="163"/>
      <c r="IG75" s="140"/>
      <c r="IH75" s="156"/>
      <c r="II75" s="157"/>
      <c r="IJ75" s="158"/>
      <c r="IK75" s="158"/>
      <c r="IL75" s="159"/>
      <c r="IM75" s="160"/>
      <c r="IN75" s="160"/>
      <c r="IO75" s="162"/>
      <c r="IP75" s="162"/>
      <c r="IQ75" s="162"/>
      <c r="IR75" s="162"/>
      <c r="IS75" s="162"/>
      <c r="IT75" s="162"/>
      <c r="IU75" s="162"/>
      <c r="IV75" s="162"/>
    </row>
    <row r="76" spans="1:256" s="2" customFormat="1" ht="45" x14ac:dyDescent="0.25">
      <c r="A76" s="138">
        <v>8.1</v>
      </c>
      <c r="B76" s="165" t="s">
        <v>422</v>
      </c>
      <c r="C76" s="110">
        <v>7430000</v>
      </c>
      <c r="D76" s="80" t="s">
        <v>53</v>
      </c>
      <c r="E76" s="80"/>
      <c r="F76" s="110">
        <v>796</v>
      </c>
      <c r="G76" s="129" t="s">
        <v>24</v>
      </c>
      <c r="H76" s="129">
        <v>1</v>
      </c>
      <c r="I76" s="151">
        <v>98401</v>
      </c>
      <c r="J76" s="83" t="s">
        <v>429</v>
      </c>
      <c r="K76" s="24">
        <v>40000</v>
      </c>
      <c r="L76" s="24"/>
      <c r="M76" s="24"/>
      <c r="N76" s="24"/>
      <c r="O76" s="24"/>
      <c r="P76" s="24"/>
      <c r="Q76" s="24"/>
      <c r="R76" s="83"/>
      <c r="S76" s="83"/>
      <c r="T76" s="83"/>
      <c r="U76" s="24"/>
      <c r="V76" s="83">
        <v>1</v>
      </c>
      <c r="W76" s="83">
        <v>40000</v>
      </c>
      <c r="X76" s="167"/>
      <c r="Y76" s="44"/>
      <c r="Z76" s="44"/>
      <c r="AA76" s="44"/>
      <c r="AB76" s="44"/>
      <c r="AC76" s="44"/>
      <c r="AD76" s="44"/>
      <c r="AE76" s="44"/>
    </row>
    <row r="77" spans="1:256" s="141" customFormat="1" ht="30" x14ac:dyDescent="0.25">
      <c r="A77" s="138">
        <v>8.1999999999999993</v>
      </c>
      <c r="B77" s="165" t="s">
        <v>422</v>
      </c>
      <c r="C77" s="110">
        <v>7430000</v>
      </c>
      <c r="D77" s="80" t="s">
        <v>54</v>
      </c>
      <c r="E77" s="80"/>
      <c r="F77" s="110">
        <v>796</v>
      </c>
      <c r="G77" s="129" t="s">
        <v>24</v>
      </c>
      <c r="H77" s="129">
        <v>10</v>
      </c>
      <c r="I77" s="151">
        <v>98401</v>
      </c>
      <c r="J77" s="83" t="s">
        <v>429</v>
      </c>
      <c r="K77" s="24">
        <v>5000</v>
      </c>
      <c r="L77" s="24"/>
      <c r="M77" s="24"/>
      <c r="N77" s="24"/>
      <c r="O77" s="24"/>
      <c r="P77" s="83"/>
      <c r="Q77" s="83"/>
      <c r="R77" s="24"/>
      <c r="S77" s="24"/>
      <c r="T77" s="24"/>
      <c r="U77" s="24"/>
      <c r="V77" s="83">
        <v>10</v>
      </c>
      <c r="W77" s="83">
        <v>5000</v>
      </c>
      <c r="X77" s="167"/>
      <c r="Y77" s="168"/>
      <c r="Z77" s="168"/>
      <c r="AA77" s="168"/>
      <c r="AB77" s="168"/>
      <c r="AC77" s="168"/>
      <c r="AD77" s="168"/>
      <c r="AE77" s="168"/>
    </row>
    <row r="78" spans="1:256" s="141" customFormat="1" ht="30" x14ac:dyDescent="0.25">
      <c r="A78" s="138">
        <v>8.3000000000000007</v>
      </c>
      <c r="B78" s="165" t="s">
        <v>422</v>
      </c>
      <c r="C78" s="110">
        <v>7430000</v>
      </c>
      <c r="D78" s="80" t="s">
        <v>55</v>
      </c>
      <c r="E78" s="80"/>
      <c r="F78" s="110">
        <v>796</v>
      </c>
      <c r="G78" s="129" t="s">
        <v>24</v>
      </c>
      <c r="H78" s="129">
        <v>1</v>
      </c>
      <c r="I78" s="151">
        <v>98401</v>
      </c>
      <c r="J78" s="83" t="s">
        <v>429</v>
      </c>
      <c r="K78" s="24">
        <v>76000</v>
      </c>
      <c r="L78" s="24"/>
      <c r="M78" s="24"/>
      <c r="N78" s="24"/>
      <c r="O78" s="24"/>
      <c r="P78" s="83"/>
      <c r="Q78" s="83"/>
      <c r="R78" s="24">
        <v>1</v>
      </c>
      <c r="S78" s="24">
        <v>26000</v>
      </c>
      <c r="T78" s="83"/>
      <c r="U78" s="83"/>
      <c r="V78" s="83">
        <v>1</v>
      </c>
      <c r="W78" s="83">
        <v>50000</v>
      </c>
      <c r="X78" s="167"/>
      <c r="Y78" s="168"/>
      <c r="Z78" s="168"/>
      <c r="AA78" s="168"/>
      <c r="AB78" s="168"/>
      <c r="AC78" s="168"/>
      <c r="AD78" s="168"/>
      <c r="AE78" s="168"/>
    </row>
    <row r="79" spans="1:256" s="141" customFormat="1" ht="30" x14ac:dyDescent="0.25">
      <c r="A79" s="138">
        <v>8.4</v>
      </c>
      <c r="B79" s="165" t="s">
        <v>422</v>
      </c>
      <c r="C79" s="110">
        <v>7430000</v>
      </c>
      <c r="D79" s="80" t="s">
        <v>56</v>
      </c>
      <c r="E79" s="80"/>
      <c r="F79" s="110">
        <v>796</v>
      </c>
      <c r="G79" s="129" t="s">
        <v>24</v>
      </c>
      <c r="H79" s="129">
        <v>1</v>
      </c>
      <c r="I79" s="151">
        <v>98401</v>
      </c>
      <c r="J79" s="83" t="s">
        <v>429</v>
      </c>
      <c r="K79" s="24">
        <v>20000</v>
      </c>
      <c r="L79" s="24"/>
      <c r="M79" s="24"/>
      <c r="N79" s="24"/>
      <c r="O79" s="24"/>
      <c r="P79" s="83"/>
      <c r="Q79" s="83"/>
      <c r="R79" s="24">
        <v>1</v>
      </c>
      <c r="S79" s="24">
        <v>20000</v>
      </c>
      <c r="T79" s="83"/>
      <c r="U79" s="83"/>
      <c r="V79" s="83"/>
      <c r="W79" s="83"/>
      <c r="X79" s="167"/>
      <c r="Y79" s="168"/>
      <c r="Z79" s="168"/>
      <c r="AA79" s="168"/>
      <c r="AB79" s="168"/>
      <c r="AC79" s="168"/>
      <c r="AD79" s="168"/>
      <c r="AE79" s="168"/>
    </row>
    <row r="80" spans="1:256" s="141" customFormat="1" ht="30" x14ac:dyDescent="0.25">
      <c r="A80" s="138">
        <v>8.5</v>
      </c>
      <c r="B80" s="165" t="s">
        <v>422</v>
      </c>
      <c r="C80" s="110">
        <v>7430000</v>
      </c>
      <c r="D80" s="80" t="s">
        <v>57</v>
      </c>
      <c r="E80" s="80"/>
      <c r="F80" s="110">
        <v>796</v>
      </c>
      <c r="G80" s="129" t="s">
        <v>24</v>
      </c>
      <c r="H80" s="129">
        <v>4</v>
      </c>
      <c r="I80" s="151">
        <v>98401</v>
      </c>
      <c r="J80" s="83" t="s">
        <v>429</v>
      </c>
      <c r="K80" s="24">
        <v>60000</v>
      </c>
      <c r="L80" s="24"/>
      <c r="M80" s="24"/>
      <c r="N80" s="24"/>
      <c r="O80" s="24"/>
      <c r="P80" s="83"/>
      <c r="Q80" s="83"/>
      <c r="R80" s="24">
        <v>4</v>
      </c>
      <c r="S80" s="24">
        <v>60000</v>
      </c>
      <c r="T80" s="83"/>
      <c r="U80" s="83"/>
      <c r="V80" s="83"/>
      <c r="W80" s="83"/>
      <c r="X80" s="167"/>
      <c r="Y80" s="168"/>
      <c r="Z80" s="168"/>
      <c r="AA80" s="168"/>
      <c r="AB80" s="168"/>
      <c r="AC80" s="168"/>
      <c r="AD80" s="168"/>
      <c r="AE80" s="168"/>
    </row>
    <row r="81" spans="1:256" s="141" customFormat="1" x14ac:dyDescent="0.25">
      <c r="A81" s="138">
        <v>8.6</v>
      </c>
      <c r="B81" s="165" t="s">
        <v>422</v>
      </c>
      <c r="C81" s="110">
        <v>7430000</v>
      </c>
      <c r="D81" s="80" t="s">
        <v>58</v>
      </c>
      <c r="E81" s="80"/>
      <c r="F81" s="110">
        <v>796</v>
      </c>
      <c r="G81" s="129" t="s">
        <v>24</v>
      </c>
      <c r="H81" s="129">
        <v>3</v>
      </c>
      <c r="I81" s="151">
        <v>98401</v>
      </c>
      <c r="J81" s="83" t="s">
        <v>429</v>
      </c>
      <c r="K81" s="24">
        <v>21000</v>
      </c>
      <c r="L81" s="24"/>
      <c r="M81" s="24"/>
      <c r="N81" s="24"/>
      <c r="O81" s="24"/>
      <c r="P81" s="83"/>
      <c r="Q81" s="83"/>
      <c r="R81" s="24">
        <v>3</v>
      </c>
      <c r="S81" s="24">
        <v>21000</v>
      </c>
      <c r="T81" s="83"/>
      <c r="U81" s="83"/>
      <c r="V81" s="83"/>
      <c r="W81" s="83"/>
      <c r="X81" s="167"/>
      <c r="Y81" s="168"/>
      <c r="Z81" s="168"/>
      <c r="AA81" s="168"/>
      <c r="AB81" s="168"/>
      <c r="AC81" s="168"/>
      <c r="AD81" s="168"/>
      <c r="AE81" s="168"/>
    </row>
    <row r="82" spans="1:256" s="141" customFormat="1" ht="30" x14ac:dyDescent="0.25">
      <c r="A82" s="138">
        <v>8.6999999999999993</v>
      </c>
      <c r="B82" s="165" t="s">
        <v>423</v>
      </c>
      <c r="C82" s="110">
        <v>7430000</v>
      </c>
      <c r="D82" s="80" t="s">
        <v>59</v>
      </c>
      <c r="E82" s="80"/>
      <c r="F82" s="110">
        <v>796</v>
      </c>
      <c r="G82" s="129" t="s">
        <v>24</v>
      </c>
      <c r="H82" s="129">
        <v>150</v>
      </c>
      <c r="I82" s="151">
        <v>98401</v>
      </c>
      <c r="J82" s="83" t="s">
        <v>429</v>
      </c>
      <c r="K82" s="24">
        <v>27000</v>
      </c>
      <c r="L82" s="24"/>
      <c r="M82" s="24"/>
      <c r="N82" s="24"/>
      <c r="O82" s="24"/>
      <c r="P82" s="83"/>
      <c r="Q82" s="83"/>
      <c r="R82" s="83"/>
      <c r="S82" s="83"/>
      <c r="T82" s="83"/>
      <c r="U82" s="83"/>
      <c r="V82" s="24">
        <v>150</v>
      </c>
      <c r="W82" s="24">
        <v>27000</v>
      </c>
      <c r="X82" s="167"/>
      <c r="Y82" s="168"/>
      <c r="Z82" s="168"/>
      <c r="AA82" s="168"/>
      <c r="AB82" s="168"/>
      <c r="AC82" s="168"/>
      <c r="AD82" s="168"/>
      <c r="AE82" s="168"/>
    </row>
    <row r="83" spans="1:256" s="141" customFormat="1" x14ac:dyDescent="0.25">
      <c r="A83" s="138">
        <v>8.8000000000000007</v>
      </c>
      <c r="B83" s="165" t="s">
        <v>423</v>
      </c>
      <c r="C83" s="110">
        <v>7430000</v>
      </c>
      <c r="D83" s="80" t="s">
        <v>60</v>
      </c>
      <c r="E83" s="80"/>
      <c r="F83" s="110">
        <v>796</v>
      </c>
      <c r="G83" s="129" t="s">
        <v>24</v>
      </c>
      <c r="H83" s="129">
        <v>200</v>
      </c>
      <c r="I83" s="151">
        <v>98401</v>
      </c>
      <c r="J83" s="83" t="s">
        <v>429</v>
      </c>
      <c r="K83" s="24">
        <v>12000</v>
      </c>
      <c r="L83" s="24"/>
      <c r="M83" s="24"/>
      <c r="N83" s="24"/>
      <c r="O83" s="24"/>
      <c r="P83" s="83"/>
      <c r="Q83" s="83"/>
      <c r="R83" s="83"/>
      <c r="S83" s="83"/>
      <c r="T83" s="83"/>
      <c r="U83" s="83"/>
      <c r="V83" s="24">
        <v>200</v>
      </c>
      <c r="W83" s="24">
        <v>12000</v>
      </c>
      <c r="X83" s="167"/>
      <c r="Y83" s="168"/>
      <c r="Z83" s="168"/>
      <c r="AA83" s="168"/>
      <c r="AB83" s="168"/>
      <c r="AC83" s="168"/>
      <c r="AD83" s="168"/>
      <c r="AE83" s="168"/>
    </row>
    <row r="84" spans="1:256" s="141" customFormat="1" ht="30" x14ac:dyDescent="0.25">
      <c r="A84" s="138">
        <v>8.9</v>
      </c>
      <c r="B84" s="165" t="s">
        <v>423</v>
      </c>
      <c r="C84" s="110">
        <v>7430000</v>
      </c>
      <c r="D84" s="80" t="s">
        <v>61</v>
      </c>
      <c r="E84" s="80"/>
      <c r="F84" s="110">
        <v>796</v>
      </c>
      <c r="G84" s="129" t="s">
        <v>24</v>
      </c>
      <c r="H84" s="129">
        <v>50</v>
      </c>
      <c r="I84" s="151">
        <v>98401</v>
      </c>
      <c r="J84" s="83" t="s">
        <v>429</v>
      </c>
      <c r="K84" s="24">
        <v>6000</v>
      </c>
      <c r="L84" s="24"/>
      <c r="M84" s="24"/>
      <c r="N84" s="24"/>
      <c r="O84" s="24"/>
      <c r="P84" s="83"/>
      <c r="Q84" s="83"/>
      <c r="R84" s="83"/>
      <c r="S84" s="83"/>
      <c r="T84" s="83"/>
      <c r="U84" s="83"/>
      <c r="V84" s="24">
        <v>50</v>
      </c>
      <c r="W84" s="24">
        <v>6000</v>
      </c>
      <c r="X84" s="167"/>
      <c r="Y84" s="168"/>
      <c r="Z84" s="168"/>
      <c r="AA84" s="168"/>
      <c r="AB84" s="168"/>
      <c r="AC84" s="168"/>
      <c r="AD84" s="168"/>
      <c r="AE84" s="168"/>
    </row>
    <row r="85" spans="1:256" s="141" customFormat="1" ht="30" x14ac:dyDescent="0.25">
      <c r="A85" s="138">
        <v>8.1</v>
      </c>
      <c r="B85" s="165" t="s">
        <v>423</v>
      </c>
      <c r="C85" s="110">
        <v>7430000</v>
      </c>
      <c r="D85" s="80" t="s">
        <v>62</v>
      </c>
      <c r="E85" s="80"/>
      <c r="F85" s="110">
        <v>796</v>
      </c>
      <c r="G85" s="129" t="s">
        <v>24</v>
      </c>
      <c r="H85" s="129">
        <v>100</v>
      </c>
      <c r="I85" s="151">
        <v>98401</v>
      </c>
      <c r="J85" s="83" t="s">
        <v>429</v>
      </c>
      <c r="K85" s="24">
        <v>5000</v>
      </c>
      <c r="L85" s="24"/>
      <c r="M85" s="24"/>
      <c r="N85" s="24"/>
      <c r="O85" s="24"/>
      <c r="P85" s="83"/>
      <c r="Q85" s="83"/>
      <c r="R85" s="83"/>
      <c r="S85" s="83"/>
      <c r="T85" s="83"/>
      <c r="U85" s="83"/>
      <c r="V85" s="24">
        <v>100</v>
      </c>
      <c r="W85" s="24">
        <v>5000</v>
      </c>
      <c r="X85" s="167"/>
      <c r="Y85" s="168"/>
      <c r="Z85" s="168"/>
      <c r="AA85" s="168"/>
      <c r="AB85" s="168"/>
      <c r="AC85" s="168"/>
      <c r="AD85" s="168"/>
      <c r="AE85" s="168"/>
    </row>
    <row r="86" spans="1:256" s="141" customFormat="1" x14ac:dyDescent="0.25">
      <c r="A86" s="138">
        <v>8.11</v>
      </c>
      <c r="B86" s="165" t="s">
        <v>423</v>
      </c>
      <c r="C86" s="110">
        <v>7430000</v>
      </c>
      <c r="D86" s="80" t="s">
        <v>63</v>
      </c>
      <c r="E86" s="80"/>
      <c r="F86" s="110">
        <v>796</v>
      </c>
      <c r="G86" s="129" t="s">
        <v>24</v>
      </c>
      <c r="H86" s="129">
        <v>100</v>
      </c>
      <c r="I86" s="151">
        <v>98401</v>
      </c>
      <c r="J86" s="83" t="s">
        <v>429</v>
      </c>
      <c r="K86" s="24">
        <v>12000</v>
      </c>
      <c r="L86" s="24"/>
      <c r="M86" s="24"/>
      <c r="N86" s="24"/>
      <c r="O86" s="24"/>
      <c r="P86" s="83"/>
      <c r="Q86" s="83"/>
      <c r="R86" s="83"/>
      <c r="S86" s="83"/>
      <c r="T86" s="83"/>
      <c r="U86" s="83"/>
      <c r="V86" s="24">
        <v>100</v>
      </c>
      <c r="W86" s="24">
        <v>12000</v>
      </c>
      <c r="X86" s="167"/>
      <c r="Y86" s="168"/>
      <c r="Z86" s="168"/>
      <c r="AA86" s="168"/>
      <c r="AB86" s="168"/>
      <c r="AC86" s="168"/>
      <c r="AD86" s="168"/>
      <c r="AE86" s="168"/>
    </row>
    <row r="87" spans="1:256" s="141" customFormat="1" x14ac:dyDescent="0.25">
      <c r="A87" s="138">
        <v>8.1199999999999992</v>
      </c>
      <c r="B87" s="165"/>
      <c r="C87" s="110"/>
      <c r="D87" s="80" t="s">
        <v>64</v>
      </c>
      <c r="E87" s="80"/>
      <c r="F87" s="110">
        <v>796</v>
      </c>
      <c r="G87" s="129" t="s">
        <v>24</v>
      </c>
      <c r="H87" s="129">
        <v>1</v>
      </c>
      <c r="I87" s="151">
        <v>98401</v>
      </c>
      <c r="J87" s="83" t="s">
        <v>429</v>
      </c>
      <c r="K87" s="24">
        <v>6000</v>
      </c>
      <c r="L87" s="24"/>
      <c r="M87" s="24"/>
      <c r="N87" s="24"/>
      <c r="O87" s="24"/>
      <c r="P87" s="83"/>
      <c r="Q87" s="83"/>
      <c r="R87" s="83"/>
      <c r="S87" s="83"/>
      <c r="T87" s="83"/>
      <c r="U87" s="83"/>
      <c r="V87" s="24">
        <v>1</v>
      </c>
      <c r="W87" s="24">
        <v>6000</v>
      </c>
      <c r="X87" s="167"/>
      <c r="Y87" s="168"/>
      <c r="Z87" s="168"/>
      <c r="AA87" s="168"/>
      <c r="AB87" s="168"/>
      <c r="AC87" s="168"/>
      <c r="AD87" s="168"/>
      <c r="AE87" s="168"/>
    </row>
    <row r="88" spans="1:256" s="141" customFormat="1" x14ac:dyDescent="0.25">
      <c r="A88" s="138">
        <v>8.1300000000000008</v>
      </c>
      <c r="B88" s="165"/>
      <c r="C88" s="110"/>
      <c r="D88" s="80" t="s">
        <v>65</v>
      </c>
      <c r="E88" s="80"/>
      <c r="F88" s="110">
        <v>796</v>
      </c>
      <c r="G88" s="129" t="s">
        <v>24</v>
      </c>
      <c r="H88" s="129"/>
      <c r="I88" s="151">
        <v>98401</v>
      </c>
      <c r="J88" s="83" t="s">
        <v>429</v>
      </c>
      <c r="K88" s="24">
        <v>118000</v>
      </c>
      <c r="L88" s="24"/>
      <c r="M88" s="24"/>
      <c r="N88" s="24"/>
      <c r="O88" s="24"/>
      <c r="P88" s="83"/>
      <c r="Q88" s="83"/>
      <c r="R88" s="83"/>
      <c r="S88" s="83"/>
      <c r="T88" s="83">
        <v>50</v>
      </c>
      <c r="U88" s="83">
        <v>80000</v>
      </c>
      <c r="V88" s="24"/>
      <c r="W88" s="24">
        <v>38000</v>
      </c>
      <c r="X88" s="167"/>
      <c r="Y88" s="168"/>
      <c r="Z88" s="168"/>
      <c r="AA88" s="168"/>
      <c r="AB88" s="168"/>
      <c r="AC88" s="168"/>
      <c r="AD88" s="168"/>
      <c r="AE88" s="168"/>
    </row>
    <row r="89" spans="1:256" s="141" customFormat="1" x14ac:dyDescent="0.25">
      <c r="A89" s="138"/>
      <c r="B89" s="165"/>
      <c r="C89" s="110"/>
      <c r="D89" s="80"/>
      <c r="E89" s="80"/>
      <c r="F89" s="114"/>
      <c r="G89" s="129"/>
      <c r="H89" s="129"/>
      <c r="I89" s="185"/>
      <c r="J89" s="83"/>
      <c r="K89" s="45">
        <v>408000</v>
      </c>
      <c r="L89" s="45"/>
      <c r="M89" s="45"/>
      <c r="N89" s="45"/>
      <c r="O89" s="45"/>
      <c r="P89" s="83"/>
      <c r="Q89" s="45">
        <v>0</v>
      </c>
      <c r="R89" s="83"/>
      <c r="S89" s="45">
        <v>127000</v>
      </c>
      <c r="T89" s="83"/>
      <c r="U89" s="45">
        <v>80000</v>
      </c>
      <c r="V89" s="24"/>
      <c r="W89" s="45">
        <v>201000</v>
      </c>
      <c r="X89" s="167"/>
      <c r="Y89" s="171"/>
      <c r="Z89" s="168"/>
      <c r="AA89" s="168"/>
      <c r="AB89" s="168"/>
      <c r="AC89" s="168"/>
      <c r="AD89" s="168"/>
      <c r="AE89" s="168"/>
    </row>
    <row r="90" spans="1:256" s="164" customFormat="1" ht="28.5" x14ac:dyDescent="0.2">
      <c r="A90" s="140">
        <v>9</v>
      </c>
      <c r="B90" s="156"/>
      <c r="C90" s="157"/>
      <c r="D90" s="158" t="s">
        <v>66</v>
      </c>
      <c r="E90" s="158"/>
      <c r="F90" s="159"/>
      <c r="G90" s="160"/>
      <c r="H90" s="160"/>
      <c r="I90" s="161"/>
      <c r="J90" s="162"/>
      <c r="K90" s="162"/>
      <c r="L90" s="162"/>
      <c r="M90" s="162"/>
      <c r="N90" s="162"/>
      <c r="O90" s="162"/>
      <c r="P90" s="162"/>
      <c r="Q90" s="162"/>
      <c r="R90" s="162"/>
      <c r="S90" s="162"/>
      <c r="T90" s="162"/>
      <c r="U90" s="162"/>
      <c r="V90" s="162"/>
      <c r="W90" s="162"/>
      <c r="X90" s="163"/>
      <c r="Y90" s="140"/>
      <c r="Z90" s="156"/>
      <c r="AA90" s="157"/>
      <c r="AB90" s="158"/>
      <c r="AC90" s="158"/>
      <c r="AD90" s="159"/>
      <c r="AE90" s="160"/>
      <c r="AF90" s="160"/>
      <c r="AG90" s="162"/>
      <c r="AH90" s="162"/>
      <c r="AI90" s="162"/>
      <c r="AJ90" s="162"/>
      <c r="AK90" s="162"/>
      <c r="AL90" s="162"/>
      <c r="AM90" s="162"/>
      <c r="AN90" s="162"/>
      <c r="AO90" s="162"/>
      <c r="AP90" s="162"/>
      <c r="AQ90" s="162"/>
      <c r="AR90" s="162"/>
      <c r="AS90" s="162"/>
      <c r="AT90" s="162"/>
      <c r="AU90" s="162"/>
      <c r="AV90" s="163"/>
      <c r="AW90" s="140"/>
      <c r="AX90" s="156"/>
      <c r="AY90" s="157"/>
      <c r="AZ90" s="158"/>
      <c r="BA90" s="158"/>
      <c r="BB90" s="159"/>
      <c r="BC90" s="160"/>
      <c r="BD90" s="160"/>
      <c r="BE90" s="162"/>
      <c r="BF90" s="162"/>
      <c r="BG90" s="162"/>
      <c r="BH90" s="162"/>
      <c r="BI90" s="162"/>
      <c r="BJ90" s="162"/>
      <c r="BK90" s="162"/>
      <c r="BL90" s="162"/>
      <c r="BM90" s="162"/>
      <c r="BN90" s="162"/>
      <c r="BO90" s="162"/>
      <c r="BP90" s="162"/>
      <c r="BQ90" s="162"/>
      <c r="BR90" s="162"/>
      <c r="BS90" s="162"/>
      <c r="BT90" s="163"/>
      <c r="BU90" s="140"/>
      <c r="BV90" s="156"/>
      <c r="BW90" s="157"/>
      <c r="BX90" s="158"/>
      <c r="BY90" s="158"/>
      <c r="BZ90" s="159"/>
      <c r="CA90" s="160"/>
      <c r="CB90" s="160"/>
      <c r="CC90" s="162"/>
      <c r="CD90" s="162"/>
      <c r="CE90" s="162"/>
      <c r="CF90" s="162"/>
      <c r="CG90" s="162"/>
      <c r="CH90" s="162"/>
      <c r="CI90" s="162"/>
      <c r="CJ90" s="162"/>
      <c r="CK90" s="162"/>
      <c r="CL90" s="162"/>
      <c r="CM90" s="162"/>
      <c r="CN90" s="162"/>
      <c r="CO90" s="162"/>
      <c r="CP90" s="162"/>
      <c r="CQ90" s="162"/>
      <c r="CR90" s="163"/>
      <c r="CS90" s="140"/>
      <c r="CT90" s="156"/>
      <c r="CU90" s="157"/>
      <c r="CV90" s="158"/>
      <c r="CW90" s="158"/>
      <c r="CX90" s="159"/>
      <c r="CY90" s="160"/>
      <c r="CZ90" s="160"/>
      <c r="DA90" s="162"/>
      <c r="DB90" s="162"/>
      <c r="DC90" s="162"/>
      <c r="DD90" s="162"/>
      <c r="DE90" s="162"/>
      <c r="DF90" s="162"/>
      <c r="DG90" s="162"/>
      <c r="DH90" s="162"/>
      <c r="DI90" s="162"/>
      <c r="DJ90" s="162"/>
      <c r="DK90" s="162"/>
      <c r="DL90" s="162"/>
      <c r="DM90" s="162"/>
      <c r="DN90" s="162"/>
      <c r="DO90" s="162"/>
      <c r="DP90" s="163"/>
      <c r="DQ90" s="140"/>
      <c r="DR90" s="156"/>
      <c r="DS90" s="157"/>
      <c r="DT90" s="158"/>
      <c r="DU90" s="158"/>
      <c r="DV90" s="159"/>
      <c r="DW90" s="160"/>
      <c r="DX90" s="160"/>
      <c r="DY90" s="162"/>
      <c r="DZ90" s="162"/>
      <c r="EA90" s="162"/>
      <c r="EB90" s="162"/>
      <c r="EC90" s="162"/>
      <c r="ED90" s="162"/>
      <c r="EE90" s="162"/>
      <c r="EF90" s="162"/>
      <c r="EG90" s="162"/>
      <c r="EH90" s="162"/>
      <c r="EI90" s="162"/>
      <c r="EJ90" s="162"/>
      <c r="EK90" s="162"/>
      <c r="EL90" s="162"/>
      <c r="EM90" s="162"/>
      <c r="EN90" s="163"/>
      <c r="EO90" s="140"/>
      <c r="EP90" s="156"/>
      <c r="EQ90" s="157"/>
      <c r="ER90" s="158"/>
      <c r="ES90" s="158"/>
      <c r="ET90" s="159"/>
      <c r="EU90" s="160"/>
      <c r="EV90" s="160"/>
      <c r="EW90" s="162"/>
      <c r="EX90" s="162"/>
      <c r="EY90" s="162"/>
      <c r="EZ90" s="162"/>
      <c r="FA90" s="162"/>
      <c r="FB90" s="162"/>
      <c r="FC90" s="162"/>
      <c r="FD90" s="162"/>
      <c r="FE90" s="162"/>
      <c r="FF90" s="162"/>
      <c r="FG90" s="162"/>
      <c r="FH90" s="162"/>
      <c r="FI90" s="162"/>
      <c r="FJ90" s="162"/>
      <c r="FK90" s="162"/>
      <c r="FL90" s="163"/>
      <c r="FM90" s="140"/>
      <c r="FN90" s="156"/>
      <c r="FO90" s="157"/>
      <c r="FP90" s="158"/>
      <c r="FQ90" s="158"/>
      <c r="FR90" s="159"/>
      <c r="FS90" s="160"/>
      <c r="FT90" s="160"/>
      <c r="FU90" s="162"/>
      <c r="FV90" s="162"/>
      <c r="FW90" s="162"/>
      <c r="FX90" s="162"/>
      <c r="FY90" s="162"/>
      <c r="FZ90" s="162"/>
      <c r="GA90" s="162"/>
      <c r="GB90" s="162"/>
      <c r="GC90" s="162"/>
      <c r="GD90" s="162"/>
      <c r="GE90" s="162"/>
      <c r="GF90" s="162"/>
      <c r="GG90" s="162"/>
      <c r="GH90" s="162"/>
      <c r="GI90" s="162"/>
      <c r="GJ90" s="163"/>
      <c r="GK90" s="140"/>
      <c r="GL90" s="156"/>
      <c r="GM90" s="157"/>
      <c r="GN90" s="158"/>
      <c r="GO90" s="158"/>
      <c r="GP90" s="159"/>
      <c r="GQ90" s="160"/>
      <c r="GR90" s="160"/>
      <c r="GS90" s="162"/>
      <c r="GT90" s="162"/>
      <c r="GU90" s="162"/>
      <c r="GV90" s="162"/>
      <c r="GW90" s="162"/>
      <c r="GX90" s="162"/>
      <c r="GY90" s="162"/>
      <c r="GZ90" s="162"/>
      <c r="HA90" s="162"/>
      <c r="HB90" s="162"/>
      <c r="HC90" s="162"/>
      <c r="HD90" s="162"/>
      <c r="HE90" s="162"/>
      <c r="HF90" s="162"/>
      <c r="HG90" s="162"/>
      <c r="HH90" s="163"/>
      <c r="HI90" s="140"/>
      <c r="HJ90" s="156"/>
      <c r="HK90" s="157"/>
      <c r="HL90" s="158"/>
      <c r="HM90" s="158"/>
      <c r="HN90" s="159"/>
      <c r="HO90" s="160"/>
      <c r="HP90" s="160"/>
      <c r="HQ90" s="162"/>
      <c r="HR90" s="162"/>
      <c r="HS90" s="162"/>
      <c r="HT90" s="162"/>
      <c r="HU90" s="162"/>
      <c r="HV90" s="162"/>
      <c r="HW90" s="162"/>
      <c r="HX90" s="162"/>
      <c r="HY90" s="162"/>
      <c r="HZ90" s="162"/>
      <c r="IA90" s="162"/>
      <c r="IB90" s="162"/>
      <c r="IC90" s="162"/>
      <c r="ID90" s="162"/>
      <c r="IE90" s="162"/>
      <c r="IF90" s="163"/>
      <c r="IG90" s="140"/>
      <c r="IH90" s="156"/>
      <c r="II90" s="157"/>
      <c r="IJ90" s="158"/>
      <c r="IK90" s="158"/>
      <c r="IL90" s="159"/>
      <c r="IM90" s="160"/>
      <c r="IN90" s="160"/>
      <c r="IO90" s="162"/>
      <c r="IP90" s="162"/>
      <c r="IQ90" s="162"/>
      <c r="IR90" s="162"/>
      <c r="IS90" s="162"/>
      <c r="IT90" s="162"/>
      <c r="IU90" s="162"/>
      <c r="IV90" s="162"/>
    </row>
    <row r="91" spans="1:256" s="141" customFormat="1" x14ac:dyDescent="0.25">
      <c r="A91" s="138">
        <v>9.1</v>
      </c>
      <c r="B91" s="165" t="s">
        <v>422</v>
      </c>
      <c r="C91" s="110">
        <v>2212000</v>
      </c>
      <c r="D91" s="43" t="s">
        <v>67</v>
      </c>
      <c r="E91" s="43"/>
      <c r="F91" s="110">
        <v>796</v>
      </c>
      <c r="G91" s="81" t="s">
        <v>17</v>
      </c>
      <c r="H91" s="129">
        <v>11</v>
      </c>
      <c r="I91" s="151">
        <v>98401</v>
      </c>
      <c r="J91" s="83" t="s">
        <v>429</v>
      </c>
      <c r="K91" s="24">
        <v>82000</v>
      </c>
      <c r="L91" s="24"/>
      <c r="M91" s="24"/>
      <c r="N91" s="24"/>
      <c r="O91" s="24"/>
      <c r="P91" s="83">
        <v>2</v>
      </c>
      <c r="Q91" s="83">
        <v>16000</v>
      </c>
      <c r="R91" s="83">
        <v>3</v>
      </c>
      <c r="S91" s="83">
        <v>24000</v>
      </c>
      <c r="T91" s="83">
        <v>3</v>
      </c>
      <c r="U91" s="83">
        <v>24000</v>
      </c>
      <c r="V91" s="83">
        <v>3</v>
      </c>
      <c r="W91" s="83">
        <v>18000</v>
      </c>
      <c r="X91" s="167"/>
      <c r="Y91" s="168"/>
      <c r="Z91" s="168"/>
      <c r="AA91" s="168"/>
      <c r="AB91" s="168"/>
      <c r="AC91" s="168"/>
      <c r="AD91" s="168"/>
      <c r="AE91" s="168"/>
    </row>
    <row r="92" spans="1:256" s="141" customFormat="1" x14ac:dyDescent="0.25">
      <c r="A92" s="138">
        <v>9.1999999999999993</v>
      </c>
      <c r="B92" s="165" t="s">
        <v>422</v>
      </c>
      <c r="C92" s="110">
        <v>2212000</v>
      </c>
      <c r="D92" s="43" t="s">
        <v>68</v>
      </c>
      <c r="E92" s="43"/>
      <c r="F92" s="110">
        <v>796</v>
      </c>
      <c r="G92" s="81" t="s">
        <v>17</v>
      </c>
      <c r="H92" s="129">
        <v>17</v>
      </c>
      <c r="I92" s="151">
        <v>98401</v>
      </c>
      <c r="J92" s="83" t="s">
        <v>429</v>
      </c>
      <c r="K92" s="24">
        <v>136000</v>
      </c>
      <c r="L92" s="24"/>
      <c r="M92" s="24"/>
      <c r="N92" s="24"/>
      <c r="O92" s="24"/>
      <c r="P92" s="83">
        <v>2</v>
      </c>
      <c r="Q92" s="83">
        <v>16000</v>
      </c>
      <c r="R92" s="83">
        <v>6</v>
      </c>
      <c r="S92" s="83">
        <v>48000</v>
      </c>
      <c r="T92" s="83">
        <v>3</v>
      </c>
      <c r="U92" s="83">
        <v>24000</v>
      </c>
      <c r="V92" s="83">
        <v>6</v>
      </c>
      <c r="W92" s="83">
        <v>48000</v>
      </c>
      <c r="X92" s="167"/>
      <c r="Y92" s="168"/>
      <c r="Z92" s="168"/>
      <c r="AA92" s="168"/>
      <c r="AB92" s="168"/>
      <c r="AC92" s="168"/>
      <c r="AD92" s="168"/>
      <c r="AE92" s="168"/>
    </row>
    <row r="93" spans="1:256" s="141" customFormat="1" x14ac:dyDescent="0.25">
      <c r="A93" s="138">
        <v>9.3000000000000007</v>
      </c>
      <c r="B93" s="165" t="s">
        <v>424</v>
      </c>
      <c r="C93" s="110">
        <v>2212000</v>
      </c>
      <c r="D93" s="43" t="s">
        <v>69</v>
      </c>
      <c r="E93" s="43"/>
      <c r="F93" s="110">
        <v>796</v>
      </c>
      <c r="G93" s="81" t="s">
        <v>17</v>
      </c>
      <c r="H93" s="129">
        <v>17</v>
      </c>
      <c r="I93" s="151">
        <v>98401</v>
      </c>
      <c r="J93" s="83" t="s">
        <v>429</v>
      </c>
      <c r="K93" s="24">
        <v>136000</v>
      </c>
      <c r="L93" s="24"/>
      <c r="M93" s="24"/>
      <c r="N93" s="24"/>
      <c r="O93" s="24"/>
      <c r="P93" s="83">
        <v>2</v>
      </c>
      <c r="Q93" s="83">
        <v>16000</v>
      </c>
      <c r="R93" s="83">
        <v>6</v>
      </c>
      <c r="S93" s="83">
        <v>48000</v>
      </c>
      <c r="T93" s="83">
        <v>3</v>
      </c>
      <c r="U93" s="83">
        <v>24000</v>
      </c>
      <c r="V93" s="83">
        <v>6</v>
      </c>
      <c r="W93" s="83">
        <v>48000</v>
      </c>
      <c r="X93" s="167"/>
      <c r="Y93" s="168"/>
      <c r="Z93" s="168"/>
      <c r="AA93" s="168"/>
      <c r="AB93" s="168"/>
      <c r="AC93" s="168"/>
      <c r="AD93" s="168"/>
      <c r="AE93" s="168"/>
    </row>
    <row r="94" spans="1:256" s="141" customFormat="1" x14ac:dyDescent="0.25">
      <c r="A94" s="138">
        <v>9.4</v>
      </c>
      <c r="B94" s="165" t="s">
        <v>424</v>
      </c>
      <c r="C94" s="110">
        <v>2212000</v>
      </c>
      <c r="D94" s="43" t="s">
        <v>70</v>
      </c>
      <c r="E94" s="43"/>
      <c r="F94" s="110">
        <v>796</v>
      </c>
      <c r="G94" s="81" t="s">
        <v>17</v>
      </c>
      <c r="H94" s="129">
        <v>11</v>
      </c>
      <c r="I94" s="151">
        <v>98401</v>
      </c>
      <c r="J94" s="83" t="s">
        <v>429</v>
      </c>
      <c r="K94" s="24">
        <v>99000</v>
      </c>
      <c r="L94" s="24"/>
      <c r="M94" s="24"/>
      <c r="N94" s="24"/>
      <c r="O94" s="24"/>
      <c r="P94" s="83">
        <v>2</v>
      </c>
      <c r="Q94" s="83">
        <v>18000</v>
      </c>
      <c r="R94" s="83">
        <v>3</v>
      </c>
      <c r="S94" s="83">
        <v>27000</v>
      </c>
      <c r="T94" s="83">
        <v>3</v>
      </c>
      <c r="U94" s="83">
        <v>27000</v>
      </c>
      <c r="V94" s="83">
        <v>3</v>
      </c>
      <c r="W94" s="83">
        <v>27000</v>
      </c>
      <c r="X94" s="167"/>
      <c r="Y94" s="168"/>
      <c r="Z94" s="168"/>
      <c r="AA94" s="168"/>
      <c r="AB94" s="168"/>
      <c r="AC94" s="168"/>
      <c r="AD94" s="168"/>
      <c r="AE94" s="168"/>
    </row>
    <row r="95" spans="1:256" s="141" customFormat="1" x14ac:dyDescent="0.25">
      <c r="A95" s="138">
        <v>9.5</v>
      </c>
      <c r="B95" s="165" t="s">
        <v>424</v>
      </c>
      <c r="C95" s="110">
        <v>2212000</v>
      </c>
      <c r="D95" s="43" t="s">
        <v>71</v>
      </c>
      <c r="E95" s="43"/>
      <c r="F95" s="110">
        <v>796</v>
      </c>
      <c r="G95" s="81" t="s">
        <v>17</v>
      </c>
      <c r="H95" s="129">
        <v>3</v>
      </c>
      <c r="I95" s="151">
        <v>98401</v>
      </c>
      <c r="J95" s="83" t="s">
        <v>429</v>
      </c>
      <c r="K95" s="24">
        <v>21000</v>
      </c>
      <c r="L95" s="24"/>
      <c r="M95" s="24"/>
      <c r="N95" s="24"/>
      <c r="O95" s="24"/>
      <c r="P95" s="83">
        <v>2</v>
      </c>
      <c r="Q95" s="83">
        <v>14000</v>
      </c>
      <c r="R95" s="83">
        <v>1</v>
      </c>
      <c r="S95" s="83">
        <v>7000</v>
      </c>
      <c r="T95" s="83"/>
      <c r="U95" s="83"/>
      <c r="V95" s="83"/>
      <c r="W95" s="83"/>
      <c r="X95" s="167"/>
      <c r="Y95" s="168"/>
      <c r="Z95" s="168"/>
      <c r="AA95" s="168"/>
      <c r="AB95" s="168"/>
      <c r="AC95" s="168"/>
      <c r="AD95" s="168"/>
      <c r="AE95" s="168"/>
    </row>
    <row r="96" spans="1:256" s="141" customFormat="1" x14ac:dyDescent="0.25">
      <c r="A96" s="138">
        <v>9.6</v>
      </c>
      <c r="B96" s="165" t="s">
        <v>424</v>
      </c>
      <c r="C96" s="110">
        <v>2212000</v>
      </c>
      <c r="D96" s="43" t="s">
        <v>72</v>
      </c>
      <c r="E96" s="43"/>
      <c r="F96" s="110">
        <v>796</v>
      </c>
      <c r="G96" s="129" t="s">
        <v>17</v>
      </c>
      <c r="H96" s="129">
        <v>2</v>
      </c>
      <c r="I96" s="151">
        <v>98401</v>
      </c>
      <c r="J96" s="83" t="s">
        <v>429</v>
      </c>
      <c r="K96" s="24">
        <v>38000</v>
      </c>
      <c r="L96" s="24"/>
      <c r="M96" s="24"/>
      <c r="N96" s="24"/>
      <c r="O96" s="24"/>
      <c r="P96" s="83"/>
      <c r="Q96" s="83"/>
      <c r="R96" s="24">
        <v>2</v>
      </c>
      <c r="S96" s="24">
        <v>38000</v>
      </c>
      <c r="T96" s="83"/>
      <c r="U96" s="83"/>
      <c r="V96" s="83"/>
      <c r="W96" s="83"/>
      <c r="X96" s="167"/>
      <c r="Y96" s="168"/>
      <c r="Z96" s="168"/>
      <c r="AA96" s="168"/>
      <c r="AB96" s="168"/>
      <c r="AC96" s="168"/>
      <c r="AD96" s="168"/>
      <c r="AE96" s="168"/>
    </row>
    <row r="97" spans="1:256" s="141" customFormat="1" x14ac:dyDescent="0.25">
      <c r="A97" s="138">
        <v>9.6999999999999993</v>
      </c>
      <c r="B97" s="165" t="s">
        <v>424</v>
      </c>
      <c r="C97" s="110">
        <v>2212000</v>
      </c>
      <c r="D97" s="43" t="s">
        <v>73</v>
      </c>
      <c r="E97" s="43"/>
      <c r="F97" s="110">
        <v>796</v>
      </c>
      <c r="G97" s="129" t="s">
        <v>17</v>
      </c>
      <c r="H97" s="129">
        <v>175</v>
      </c>
      <c r="I97" s="151">
        <v>98401</v>
      </c>
      <c r="J97" s="83" t="s">
        <v>429</v>
      </c>
      <c r="K97" s="24">
        <v>350000</v>
      </c>
      <c r="L97" s="24"/>
      <c r="M97" s="24"/>
      <c r="N97" s="24"/>
      <c r="O97" s="24"/>
      <c r="P97" s="83">
        <v>40</v>
      </c>
      <c r="Q97" s="83">
        <v>80000</v>
      </c>
      <c r="R97" s="83">
        <v>45</v>
      </c>
      <c r="S97" s="83">
        <v>90000</v>
      </c>
      <c r="T97" s="83">
        <v>45</v>
      </c>
      <c r="U97" s="83">
        <v>90000</v>
      </c>
      <c r="V97" s="83">
        <v>45</v>
      </c>
      <c r="W97" s="83">
        <v>90000</v>
      </c>
      <c r="X97" s="167"/>
      <c r="Y97" s="168"/>
      <c r="Z97" s="168"/>
      <c r="AA97" s="168"/>
      <c r="AB97" s="168"/>
      <c r="AC97" s="168"/>
      <c r="AD97" s="168"/>
      <c r="AE97" s="168"/>
    </row>
    <row r="98" spans="1:256" s="141" customFormat="1" x14ac:dyDescent="0.25">
      <c r="A98" s="138">
        <v>9.8000000000000007</v>
      </c>
      <c r="B98" s="165" t="s">
        <v>424</v>
      </c>
      <c r="C98" s="110">
        <v>2212000</v>
      </c>
      <c r="D98" s="43" t="s">
        <v>74</v>
      </c>
      <c r="E98" s="43"/>
      <c r="F98" s="110">
        <v>796</v>
      </c>
      <c r="G98" s="129" t="s">
        <v>17</v>
      </c>
      <c r="H98" s="129">
        <v>2</v>
      </c>
      <c r="I98" s="151">
        <v>98401</v>
      </c>
      <c r="J98" s="83" t="s">
        <v>429</v>
      </c>
      <c r="K98" s="24">
        <v>70000</v>
      </c>
      <c r="L98" s="24"/>
      <c r="M98" s="24"/>
      <c r="N98" s="24"/>
      <c r="O98" s="24"/>
      <c r="P98" s="83"/>
      <c r="Q98" s="83"/>
      <c r="R98" s="24">
        <v>2</v>
      </c>
      <c r="S98" s="24">
        <v>70000</v>
      </c>
      <c r="T98" s="83"/>
      <c r="U98" s="83"/>
      <c r="V98" s="83"/>
      <c r="W98" s="83"/>
      <c r="X98" s="167"/>
      <c r="Y98" s="168"/>
      <c r="Z98" s="168"/>
      <c r="AA98" s="168"/>
      <c r="AB98" s="168"/>
      <c r="AC98" s="168"/>
      <c r="AD98" s="168"/>
      <c r="AE98" s="168"/>
    </row>
    <row r="99" spans="1:256" s="141" customFormat="1" x14ac:dyDescent="0.25">
      <c r="A99" s="138"/>
      <c r="B99" s="165"/>
      <c r="C99" s="110"/>
      <c r="D99" s="43"/>
      <c r="E99" s="43"/>
      <c r="F99" s="11"/>
      <c r="G99" s="129"/>
      <c r="H99" s="129"/>
      <c r="I99" s="185"/>
      <c r="J99" s="83"/>
      <c r="K99" s="45">
        <v>932000</v>
      </c>
      <c r="L99" s="45"/>
      <c r="M99" s="45"/>
      <c r="N99" s="45"/>
      <c r="O99" s="45"/>
      <c r="P99" s="83"/>
      <c r="Q99" s="45">
        <v>160000</v>
      </c>
      <c r="R99" s="83"/>
      <c r="S99" s="45">
        <v>352000</v>
      </c>
      <c r="T99" s="83"/>
      <c r="U99" s="45">
        <v>189000</v>
      </c>
      <c r="V99" s="83"/>
      <c r="W99" s="45">
        <v>231000</v>
      </c>
      <c r="X99" s="167"/>
      <c r="Y99" s="168"/>
      <c r="Z99" s="168"/>
      <c r="AA99" s="168"/>
      <c r="AB99" s="168"/>
      <c r="AC99" s="168"/>
      <c r="AD99" s="168"/>
      <c r="AE99" s="168"/>
    </row>
    <row r="100" spans="1:256" s="164" customFormat="1" ht="14.25" x14ac:dyDescent="0.2">
      <c r="A100" s="140">
        <v>10</v>
      </c>
      <c r="B100" s="156"/>
      <c r="C100" s="157"/>
      <c r="D100" s="158" t="s">
        <v>75</v>
      </c>
      <c r="E100" s="158"/>
      <c r="F100" s="159"/>
      <c r="G100" s="160"/>
      <c r="H100" s="160"/>
      <c r="I100" s="161"/>
      <c r="J100" s="162"/>
      <c r="K100" s="162"/>
      <c r="L100" s="162"/>
      <c r="M100" s="162"/>
      <c r="N100" s="162"/>
      <c r="O100" s="162"/>
      <c r="P100" s="162"/>
      <c r="Q100" s="162"/>
      <c r="R100" s="162"/>
      <c r="S100" s="162"/>
      <c r="T100" s="162"/>
      <c r="U100" s="162"/>
      <c r="V100" s="162"/>
      <c r="W100" s="162"/>
      <c r="X100" s="163"/>
      <c r="Y100" s="140"/>
      <c r="Z100" s="156"/>
      <c r="AA100" s="157"/>
      <c r="AB100" s="158"/>
      <c r="AC100" s="158"/>
      <c r="AD100" s="159"/>
      <c r="AE100" s="160"/>
      <c r="AF100" s="160"/>
      <c r="AG100" s="162"/>
      <c r="AH100" s="162"/>
      <c r="AI100" s="162"/>
      <c r="AJ100" s="162"/>
      <c r="AK100" s="162"/>
      <c r="AL100" s="162"/>
      <c r="AM100" s="162"/>
      <c r="AN100" s="162"/>
      <c r="AO100" s="162"/>
      <c r="AP100" s="162"/>
      <c r="AQ100" s="162"/>
      <c r="AR100" s="162"/>
      <c r="AS100" s="162"/>
      <c r="AT100" s="162"/>
      <c r="AU100" s="162"/>
      <c r="AV100" s="163"/>
      <c r="AW100" s="140"/>
      <c r="AX100" s="156"/>
      <c r="AY100" s="157"/>
      <c r="AZ100" s="158"/>
      <c r="BA100" s="158"/>
      <c r="BB100" s="159"/>
      <c r="BC100" s="160"/>
      <c r="BD100" s="160"/>
      <c r="BE100" s="162"/>
      <c r="BF100" s="162"/>
      <c r="BG100" s="162"/>
      <c r="BH100" s="162"/>
      <c r="BI100" s="162"/>
      <c r="BJ100" s="162"/>
      <c r="BK100" s="162"/>
      <c r="BL100" s="162"/>
      <c r="BM100" s="162"/>
      <c r="BN100" s="162"/>
      <c r="BO100" s="162"/>
      <c r="BP100" s="162"/>
      <c r="BQ100" s="162"/>
      <c r="BR100" s="162"/>
      <c r="BS100" s="162"/>
      <c r="BT100" s="163"/>
      <c r="BU100" s="140"/>
      <c r="BV100" s="156"/>
      <c r="BW100" s="157"/>
      <c r="BX100" s="158"/>
      <c r="BY100" s="158"/>
      <c r="BZ100" s="159"/>
      <c r="CA100" s="160"/>
      <c r="CB100" s="160"/>
      <c r="CC100" s="162"/>
      <c r="CD100" s="162"/>
      <c r="CE100" s="162"/>
      <c r="CF100" s="162"/>
      <c r="CG100" s="162"/>
      <c r="CH100" s="162"/>
      <c r="CI100" s="162"/>
      <c r="CJ100" s="162"/>
      <c r="CK100" s="162"/>
      <c r="CL100" s="162"/>
      <c r="CM100" s="162"/>
      <c r="CN100" s="162"/>
      <c r="CO100" s="162"/>
      <c r="CP100" s="162"/>
      <c r="CQ100" s="162"/>
      <c r="CR100" s="163"/>
      <c r="CS100" s="140"/>
      <c r="CT100" s="156"/>
      <c r="CU100" s="157"/>
      <c r="CV100" s="158"/>
      <c r="CW100" s="158"/>
      <c r="CX100" s="159"/>
      <c r="CY100" s="160"/>
      <c r="CZ100" s="160"/>
      <c r="DA100" s="162"/>
      <c r="DB100" s="162"/>
      <c r="DC100" s="162"/>
      <c r="DD100" s="162"/>
      <c r="DE100" s="162"/>
      <c r="DF100" s="162"/>
      <c r="DG100" s="162"/>
      <c r="DH100" s="162"/>
      <c r="DI100" s="162"/>
      <c r="DJ100" s="162"/>
      <c r="DK100" s="162"/>
      <c r="DL100" s="162"/>
      <c r="DM100" s="162"/>
      <c r="DN100" s="162"/>
      <c r="DO100" s="162"/>
      <c r="DP100" s="163"/>
      <c r="DQ100" s="140"/>
      <c r="DR100" s="156"/>
      <c r="DS100" s="157"/>
      <c r="DT100" s="158"/>
      <c r="DU100" s="158"/>
      <c r="DV100" s="159"/>
      <c r="DW100" s="160"/>
      <c r="DX100" s="160"/>
      <c r="DY100" s="162"/>
      <c r="DZ100" s="162"/>
      <c r="EA100" s="162"/>
      <c r="EB100" s="162"/>
      <c r="EC100" s="162"/>
      <c r="ED100" s="162"/>
      <c r="EE100" s="162"/>
      <c r="EF100" s="162"/>
      <c r="EG100" s="162"/>
      <c r="EH100" s="162"/>
      <c r="EI100" s="162"/>
      <c r="EJ100" s="162"/>
      <c r="EK100" s="162"/>
      <c r="EL100" s="162"/>
      <c r="EM100" s="162"/>
      <c r="EN100" s="163"/>
      <c r="EO100" s="140"/>
      <c r="EP100" s="156"/>
      <c r="EQ100" s="157"/>
      <c r="ER100" s="158"/>
      <c r="ES100" s="158"/>
      <c r="ET100" s="159"/>
      <c r="EU100" s="160"/>
      <c r="EV100" s="160"/>
      <c r="EW100" s="162"/>
      <c r="EX100" s="162"/>
      <c r="EY100" s="162"/>
      <c r="EZ100" s="162"/>
      <c r="FA100" s="162"/>
      <c r="FB100" s="162"/>
      <c r="FC100" s="162"/>
      <c r="FD100" s="162"/>
      <c r="FE100" s="162"/>
      <c r="FF100" s="162"/>
      <c r="FG100" s="162"/>
      <c r="FH100" s="162"/>
      <c r="FI100" s="162"/>
      <c r="FJ100" s="162"/>
      <c r="FK100" s="162"/>
      <c r="FL100" s="163"/>
      <c r="FM100" s="140"/>
      <c r="FN100" s="156"/>
      <c r="FO100" s="157"/>
      <c r="FP100" s="158"/>
      <c r="FQ100" s="158"/>
      <c r="FR100" s="159"/>
      <c r="FS100" s="160"/>
      <c r="FT100" s="160"/>
      <c r="FU100" s="162"/>
      <c r="FV100" s="162"/>
      <c r="FW100" s="162"/>
      <c r="FX100" s="162"/>
      <c r="FY100" s="162"/>
      <c r="FZ100" s="162"/>
      <c r="GA100" s="162"/>
      <c r="GB100" s="162"/>
      <c r="GC100" s="162"/>
      <c r="GD100" s="162"/>
      <c r="GE100" s="162"/>
      <c r="GF100" s="162"/>
      <c r="GG100" s="162"/>
      <c r="GH100" s="162"/>
      <c r="GI100" s="162"/>
      <c r="GJ100" s="163"/>
      <c r="GK100" s="140"/>
      <c r="GL100" s="156"/>
      <c r="GM100" s="157"/>
      <c r="GN100" s="158"/>
      <c r="GO100" s="158"/>
      <c r="GP100" s="159"/>
      <c r="GQ100" s="160"/>
      <c r="GR100" s="160"/>
      <c r="GS100" s="162"/>
      <c r="GT100" s="162"/>
      <c r="GU100" s="162"/>
      <c r="GV100" s="162"/>
      <c r="GW100" s="162"/>
      <c r="GX100" s="162"/>
      <c r="GY100" s="162"/>
      <c r="GZ100" s="162"/>
      <c r="HA100" s="162"/>
      <c r="HB100" s="162"/>
      <c r="HC100" s="162"/>
      <c r="HD100" s="162"/>
      <c r="HE100" s="162"/>
      <c r="HF100" s="162"/>
      <c r="HG100" s="162"/>
      <c r="HH100" s="163"/>
      <c r="HI100" s="140"/>
      <c r="HJ100" s="156"/>
      <c r="HK100" s="157"/>
      <c r="HL100" s="158"/>
      <c r="HM100" s="158"/>
      <c r="HN100" s="159"/>
      <c r="HO100" s="160"/>
      <c r="HP100" s="160"/>
      <c r="HQ100" s="162"/>
      <c r="HR100" s="162"/>
      <c r="HS100" s="162"/>
      <c r="HT100" s="162"/>
      <c r="HU100" s="162"/>
      <c r="HV100" s="162"/>
      <c r="HW100" s="162"/>
      <c r="HX100" s="162"/>
      <c r="HY100" s="162"/>
      <c r="HZ100" s="162"/>
      <c r="IA100" s="162"/>
      <c r="IB100" s="162"/>
      <c r="IC100" s="162"/>
      <c r="ID100" s="162"/>
      <c r="IE100" s="162"/>
      <c r="IF100" s="163"/>
      <c r="IG100" s="140"/>
      <c r="IH100" s="156"/>
      <c r="II100" s="157"/>
      <c r="IJ100" s="158"/>
      <c r="IK100" s="158"/>
      <c r="IL100" s="159"/>
      <c r="IM100" s="160"/>
      <c r="IN100" s="160"/>
      <c r="IO100" s="162"/>
      <c r="IP100" s="162"/>
      <c r="IQ100" s="162"/>
      <c r="IR100" s="162"/>
      <c r="IS100" s="162"/>
      <c r="IT100" s="162"/>
      <c r="IU100" s="162"/>
      <c r="IV100" s="162"/>
    </row>
    <row r="101" spans="1:256" s="141" customFormat="1" x14ac:dyDescent="0.25">
      <c r="A101" s="138">
        <v>10.1</v>
      </c>
      <c r="B101" s="110">
        <v>52.47</v>
      </c>
      <c r="C101" s="110">
        <v>2212000</v>
      </c>
      <c r="D101" s="43" t="s">
        <v>76</v>
      </c>
      <c r="E101" s="43"/>
      <c r="F101" s="110">
        <v>796</v>
      </c>
      <c r="G101" s="129" t="s">
        <v>17</v>
      </c>
      <c r="H101" s="129">
        <v>2</v>
      </c>
      <c r="I101" s="151">
        <v>98401</v>
      </c>
      <c r="J101" s="83" t="s">
        <v>429</v>
      </c>
      <c r="K101" s="27">
        <v>3000</v>
      </c>
      <c r="L101" s="27"/>
      <c r="M101" s="27"/>
      <c r="N101" s="27"/>
      <c r="O101" s="27"/>
      <c r="P101" s="83"/>
      <c r="Q101" s="83"/>
      <c r="R101" s="24">
        <v>1</v>
      </c>
      <c r="S101" s="27">
        <v>1500</v>
      </c>
      <c r="T101" s="187"/>
      <c r="U101" s="188"/>
      <c r="V101" s="27">
        <v>1</v>
      </c>
      <c r="W101" s="27">
        <v>1500</v>
      </c>
      <c r="X101" s="167"/>
      <c r="Y101" s="168"/>
      <c r="Z101" s="168"/>
      <c r="AA101" s="168"/>
      <c r="AB101" s="168"/>
      <c r="AC101" s="168"/>
      <c r="AD101" s="168"/>
      <c r="AE101" s="168"/>
    </row>
    <row r="102" spans="1:256" s="141" customFormat="1" x14ac:dyDescent="0.25">
      <c r="A102" s="138">
        <v>10.199999999999999</v>
      </c>
      <c r="B102" s="110">
        <v>52.47</v>
      </c>
      <c r="C102" s="110">
        <v>2212000</v>
      </c>
      <c r="D102" s="43" t="s">
        <v>77</v>
      </c>
      <c r="E102" s="43"/>
      <c r="F102" s="110">
        <v>796</v>
      </c>
      <c r="G102" s="129" t="s">
        <v>17</v>
      </c>
      <c r="H102" s="129">
        <v>2</v>
      </c>
      <c r="I102" s="151">
        <v>98401</v>
      </c>
      <c r="J102" s="83" t="s">
        <v>429</v>
      </c>
      <c r="K102" s="27">
        <v>1200</v>
      </c>
      <c r="L102" s="27"/>
      <c r="M102" s="27"/>
      <c r="N102" s="27"/>
      <c r="O102" s="27"/>
      <c r="P102" s="83"/>
      <c r="Q102" s="83"/>
      <c r="R102" s="24">
        <v>1</v>
      </c>
      <c r="S102" s="27">
        <v>600</v>
      </c>
      <c r="T102" s="187"/>
      <c r="U102" s="188"/>
      <c r="V102" s="27">
        <v>1</v>
      </c>
      <c r="W102" s="27">
        <v>600</v>
      </c>
      <c r="X102" s="167"/>
      <c r="Y102" s="168"/>
      <c r="Z102" s="168"/>
      <c r="AA102" s="168"/>
      <c r="AB102" s="168"/>
      <c r="AC102" s="168"/>
      <c r="AD102" s="168"/>
      <c r="AE102" s="168"/>
    </row>
    <row r="103" spans="1:256" s="141" customFormat="1" x14ac:dyDescent="0.25">
      <c r="A103" s="138">
        <v>10.3</v>
      </c>
      <c r="B103" s="110">
        <v>52.47</v>
      </c>
      <c r="C103" s="110">
        <v>2212000</v>
      </c>
      <c r="D103" s="43" t="s">
        <v>78</v>
      </c>
      <c r="E103" s="43"/>
      <c r="F103" s="110">
        <v>796</v>
      </c>
      <c r="G103" s="129" t="s">
        <v>17</v>
      </c>
      <c r="H103" s="129">
        <v>2</v>
      </c>
      <c r="I103" s="151">
        <v>98401</v>
      </c>
      <c r="J103" s="83" t="s">
        <v>429</v>
      </c>
      <c r="K103" s="381">
        <v>1920</v>
      </c>
      <c r="L103" s="189"/>
      <c r="M103" s="189"/>
      <c r="N103" s="189"/>
      <c r="O103" s="189"/>
      <c r="P103" s="83"/>
      <c r="Q103" s="83"/>
      <c r="R103" s="24">
        <v>1</v>
      </c>
      <c r="S103" s="381">
        <v>960</v>
      </c>
      <c r="T103" s="187"/>
      <c r="U103" s="188"/>
      <c r="V103" s="27">
        <v>1</v>
      </c>
      <c r="W103" s="381">
        <v>960</v>
      </c>
      <c r="X103" s="167"/>
      <c r="Y103" s="168"/>
      <c r="Z103" s="168"/>
      <c r="AA103" s="168"/>
      <c r="AB103" s="168"/>
      <c r="AC103" s="168"/>
      <c r="AD103" s="168"/>
      <c r="AE103" s="168"/>
    </row>
    <row r="104" spans="1:256" s="141" customFormat="1" x14ac:dyDescent="0.25">
      <c r="A104" s="138">
        <v>10.4</v>
      </c>
      <c r="B104" s="110">
        <v>52.47</v>
      </c>
      <c r="C104" s="110">
        <v>2212000</v>
      </c>
      <c r="D104" s="43" t="s">
        <v>79</v>
      </c>
      <c r="E104" s="43"/>
      <c r="F104" s="110">
        <v>796</v>
      </c>
      <c r="G104" s="129" t="s">
        <v>17</v>
      </c>
      <c r="H104" s="129">
        <v>2</v>
      </c>
      <c r="I104" s="151">
        <v>98401</v>
      </c>
      <c r="J104" s="83" t="s">
        <v>429</v>
      </c>
      <c r="K104" s="382"/>
      <c r="L104" s="190"/>
      <c r="M104" s="190"/>
      <c r="N104" s="190"/>
      <c r="O104" s="190"/>
      <c r="P104" s="83"/>
      <c r="Q104" s="83"/>
      <c r="R104" s="24">
        <v>1</v>
      </c>
      <c r="S104" s="382"/>
      <c r="T104" s="187"/>
      <c r="U104" s="188"/>
      <c r="V104" s="27">
        <v>1</v>
      </c>
      <c r="W104" s="382"/>
      <c r="X104" s="167"/>
      <c r="Y104" s="168"/>
      <c r="Z104" s="168"/>
      <c r="AA104" s="168"/>
      <c r="AB104" s="168"/>
      <c r="AC104" s="168"/>
      <c r="AD104" s="168"/>
      <c r="AE104" s="168"/>
    </row>
    <row r="105" spans="1:256" s="141" customFormat="1" x14ac:dyDescent="0.25">
      <c r="A105" s="138">
        <v>10.5</v>
      </c>
      <c r="B105" s="110">
        <v>52.47</v>
      </c>
      <c r="C105" s="110">
        <v>2212000</v>
      </c>
      <c r="D105" s="43" t="s">
        <v>80</v>
      </c>
      <c r="E105" s="43"/>
      <c r="F105" s="110">
        <v>796</v>
      </c>
      <c r="G105" s="129" t="s">
        <v>17</v>
      </c>
      <c r="H105" s="129">
        <v>2</v>
      </c>
      <c r="I105" s="151">
        <v>98401</v>
      </c>
      <c r="J105" s="83" t="s">
        <v>429</v>
      </c>
      <c r="K105" s="27">
        <v>1560</v>
      </c>
      <c r="L105" s="27"/>
      <c r="M105" s="27"/>
      <c r="N105" s="27"/>
      <c r="O105" s="27"/>
      <c r="P105" s="83"/>
      <c r="Q105" s="83"/>
      <c r="R105" s="24">
        <v>1</v>
      </c>
      <c r="S105" s="27">
        <v>780</v>
      </c>
      <c r="T105" s="187"/>
      <c r="U105" s="188"/>
      <c r="V105" s="27">
        <v>1</v>
      </c>
      <c r="W105" s="27">
        <v>780</v>
      </c>
      <c r="X105" s="167"/>
      <c r="Y105" s="168"/>
      <c r="Z105" s="168"/>
      <c r="AA105" s="168"/>
      <c r="AB105" s="168"/>
      <c r="AC105" s="168"/>
      <c r="AD105" s="168"/>
      <c r="AE105" s="168"/>
    </row>
    <row r="106" spans="1:256" s="141" customFormat="1" x14ac:dyDescent="0.25">
      <c r="A106" s="138">
        <v>10.6</v>
      </c>
      <c r="B106" s="110">
        <v>52.47</v>
      </c>
      <c r="C106" s="110">
        <v>2212000</v>
      </c>
      <c r="D106" s="43" t="s">
        <v>81</v>
      </c>
      <c r="E106" s="43"/>
      <c r="F106" s="110">
        <v>796</v>
      </c>
      <c r="G106" s="129" t="s">
        <v>17</v>
      </c>
      <c r="H106" s="129">
        <v>2</v>
      </c>
      <c r="I106" s="151">
        <v>98401</v>
      </c>
      <c r="J106" s="83" t="s">
        <v>429</v>
      </c>
      <c r="K106" s="27">
        <v>10524</v>
      </c>
      <c r="L106" s="27"/>
      <c r="M106" s="27"/>
      <c r="N106" s="27"/>
      <c r="O106" s="27"/>
      <c r="P106" s="83"/>
      <c r="Q106" s="83"/>
      <c r="R106" s="24">
        <v>1</v>
      </c>
      <c r="S106" s="27">
        <v>5262</v>
      </c>
      <c r="T106" s="187"/>
      <c r="U106" s="188"/>
      <c r="V106" s="27">
        <v>1</v>
      </c>
      <c r="W106" s="27">
        <v>5262</v>
      </c>
      <c r="X106" s="167"/>
      <c r="Y106" s="168"/>
      <c r="Z106" s="168"/>
      <c r="AA106" s="168"/>
      <c r="AB106" s="168"/>
      <c r="AC106" s="168"/>
      <c r="AD106" s="168"/>
      <c r="AE106" s="168"/>
    </row>
    <row r="107" spans="1:256" s="141" customFormat="1" x14ac:dyDescent="0.25">
      <c r="A107" s="138">
        <v>10.7</v>
      </c>
      <c r="B107" s="110">
        <v>52.47</v>
      </c>
      <c r="C107" s="110">
        <v>2212000</v>
      </c>
      <c r="D107" s="43" t="s">
        <v>82</v>
      </c>
      <c r="E107" s="43"/>
      <c r="F107" s="110">
        <v>796</v>
      </c>
      <c r="G107" s="129" t="s">
        <v>17</v>
      </c>
      <c r="H107" s="129">
        <v>2</v>
      </c>
      <c r="I107" s="151">
        <v>98401</v>
      </c>
      <c r="J107" s="83" t="s">
        <v>429</v>
      </c>
      <c r="K107" s="27">
        <v>4508</v>
      </c>
      <c r="L107" s="27"/>
      <c r="M107" s="27"/>
      <c r="N107" s="27"/>
      <c r="O107" s="27"/>
      <c r="P107" s="83"/>
      <c r="Q107" s="83"/>
      <c r="R107" s="24">
        <v>1</v>
      </c>
      <c r="S107" s="27">
        <v>2254</v>
      </c>
      <c r="T107" s="187"/>
      <c r="U107" s="188"/>
      <c r="V107" s="27">
        <v>1</v>
      </c>
      <c r="W107" s="27">
        <v>2254</v>
      </c>
      <c r="X107" s="167"/>
      <c r="Y107" s="168"/>
      <c r="Z107" s="168"/>
      <c r="AA107" s="168"/>
      <c r="AB107" s="168"/>
      <c r="AC107" s="168"/>
      <c r="AD107" s="168"/>
      <c r="AE107" s="168"/>
    </row>
    <row r="108" spans="1:256" s="141" customFormat="1" x14ac:dyDescent="0.25">
      <c r="A108" s="138">
        <v>10.8</v>
      </c>
      <c r="B108" s="110">
        <v>52.47</v>
      </c>
      <c r="C108" s="110">
        <v>2212000</v>
      </c>
      <c r="D108" s="43" t="s">
        <v>83</v>
      </c>
      <c r="E108" s="43"/>
      <c r="F108" s="110">
        <v>796</v>
      </c>
      <c r="G108" s="129" t="s">
        <v>17</v>
      </c>
      <c r="H108" s="129">
        <v>2</v>
      </c>
      <c r="I108" s="151">
        <v>98401</v>
      </c>
      <c r="J108" s="83" t="s">
        <v>429</v>
      </c>
      <c r="K108" s="27">
        <v>1824</v>
      </c>
      <c r="L108" s="27"/>
      <c r="M108" s="27"/>
      <c r="N108" s="27"/>
      <c r="O108" s="27"/>
      <c r="P108" s="83"/>
      <c r="Q108" s="83"/>
      <c r="R108" s="24">
        <v>1</v>
      </c>
      <c r="S108" s="27">
        <v>912</v>
      </c>
      <c r="T108" s="187"/>
      <c r="U108" s="188"/>
      <c r="V108" s="27">
        <v>1</v>
      </c>
      <c r="W108" s="27">
        <v>912</v>
      </c>
      <c r="X108" s="167"/>
      <c r="Y108" s="168"/>
      <c r="Z108" s="168"/>
      <c r="AA108" s="168"/>
      <c r="AB108" s="168"/>
      <c r="AC108" s="168"/>
      <c r="AD108" s="168"/>
      <c r="AE108" s="168"/>
    </row>
    <row r="109" spans="1:256" s="141" customFormat="1" x14ac:dyDescent="0.25">
      <c r="A109" s="138">
        <v>10.9</v>
      </c>
      <c r="B109" s="110">
        <v>52.47</v>
      </c>
      <c r="C109" s="110">
        <v>2212000</v>
      </c>
      <c r="D109" s="43" t="s">
        <v>84</v>
      </c>
      <c r="E109" s="43"/>
      <c r="F109" s="110">
        <v>796</v>
      </c>
      <c r="G109" s="129" t="s">
        <v>17</v>
      </c>
      <c r="H109" s="129">
        <v>2</v>
      </c>
      <c r="I109" s="151">
        <v>98401</v>
      </c>
      <c r="J109" s="83" t="s">
        <v>429</v>
      </c>
      <c r="K109" s="27">
        <v>7512</v>
      </c>
      <c r="L109" s="27"/>
      <c r="M109" s="27"/>
      <c r="N109" s="27"/>
      <c r="O109" s="27"/>
      <c r="P109" s="83"/>
      <c r="Q109" s="83"/>
      <c r="R109" s="24">
        <v>1</v>
      </c>
      <c r="S109" s="27">
        <v>3756</v>
      </c>
      <c r="T109" s="187"/>
      <c r="U109" s="188"/>
      <c r="V109" s="27">
        <v>1</v>
      </c>
      <c r="W109" s="27">
        <v>3756</v>
      </c>
      <c r="X109" s="167"/>
      <c r="Y109" s="168"/>
      <c r="Z109" s="168"/>
      <c r="AA109" s="168"/>
      <c r="AB109" s="168"/>
      <c r="AC109" s="168"/>
      <c r="AD109" s="168"/>
      <c r="AE109" s="168"/>
    </row>
    <row r="110" spans="1:256" s="141" customFormat="1" x14ac:dyDescent="0.25">
      <c r="A110" s="138">
        <v>10.1</v>
      </c>
      <c r="B110" s="110">
        <v>52.47</v>
      </c>
      <c r="C110" s="110">
        <v>2212000</v>
      </c>
      <c r="D110" s="43" t="s">
        <v>85</v>
      </c>
      <c r="E110" s="43"/>
      <c r="F110" s="110">
        <v>796</v>
      </c>
      <c r="G110" s="129" t="s">
        <v>17</v>
      </c>
      <c r="H110" s="129">
        <v>2</v>
      </c>
      <c r="I110" s="151">
        <v>98401</v>
      </c>
      <c r="J110" s="83" t="s">
        <v>429</v>
      </c>
      <c r="K110" s="27">
        <v>1084</v>
      </c>
      <c r="L110" s="27"/>
      <c r="M110" s="27"/>
      <c r="N110" s="27"/>
      <c r="O110" s="27"/>
      <c r="P110" s="83"/>
      <c r="Q110" s="83"/>
      <c r="R110" s="24">
        <v>1</v>
      </c>
      <c r="S110" s="27">
        <v>542</v>
      </c>
      <c r="T110" s="187"/>
      <c r="U110" s="188"/>
      <c r="V110" s="27">
        <v>1</v>
      </c>
      <c r="W110" s="27">
        <v>542</v>
      </c>
      <c r="X110" s="167"/>
      <c r="Y110" s="168"/>
      <c r="Z110" s="168"/>
      <c r="AA110" s="168"/>
      <c r="AB110" s="168"/>
      <c r="AC110" s="168"/>
      <c r="AD110" s="168"/>
      <c r="AE110" s="168"/>
    </row>
    <row r="111" spans="1:256" s="141" customFormat="1" x14ac:dyDescent="0.25">
      <c r="A111" s="138">
        <v>10.11</v>
      </c>
      <c r="B111" s="110">
        <v>52.47</v>
      </c>
      <c r="C111" s="110">
        <v>2212000</v>
      </c>
      <c r="D111" s="43" t="s">
        <v>86</v>
      </c>
      <c r="E111" s="43"/>
      <c r="F111" s="110">
        <v>796</v>
      </c>
      <c r="G111" s="129" t="s">
        <v>17</v>
      </c>
      <c r="H111" s="129">
        <v>2</v>
      </c>
      <c r="I111" s="151">
        <v>98401</v>
      </c>
      <c r="J111" s="83" t="s">
        <v>429</v>
      </c>
      <c r="K111" s="27">
        <v>2928</v>
      </c>
      <c r="L111" s="27"/>
      <c r="M111" s="27"/>
      <c r="N111" s="27"/>
      <c r="O111" s="27"/>
      <c r="P111" s="83"/>
      <c r="Q111" s="83"/>
      <c r="R111" s="24">
        <v>1</v>
      </c>
      <c r="S111" s="27">
        <v>1464</v>
      </c>
      <c r="T111" s="187"/>
      <c r="U111" s="188"/>
      <c r="V111" s="27">
        <v>1</v>
      </c>
      <c r="W111" s="27">
        <v>1464</v>
      </c>
      <c r="X111" s="167"/>
      <c r="Y111" s="168"/>
      <c r="Z111" s="168"/>
      <c r="AA111" s="168"/>
      <c r="AB111" s="168"/>
      <c r="AC111" s="168"/>
      <c r="AD111" s="168"/>
      <c r="AE111" s="168"/>
    </row>
    <row r="112" spans="1:256" s="141" customFormat="1" x14ac:dyDescent="0.25">
      <c r="A112" s="138">
        <v>10.119999999999999</v>
      </c>
      <c r="B112" s="110">
        <v>52.47</v>
      </c>
      <c r="C112" s="110">
        <v>2212000</v>
      </c>
      <c r="D112" s="43" t="s">
        <v>87</v>
      </c>
      <c r="E112" s="43"/>
      <c r="F112" s="110">
        <v>796</v>
      </c>
      <c r="G112" s="129" t="s">
        <v>17</v>
      </c>
      <c r="H112" s="129">
        <v>1</v>
      </c>
      <c r="I112" s="151">
        <v>98401</v>
      </c>
      <c r="J112" s="83" t="s">
        <v>429</v>
      </c>
      <c r="K112" s="27">
        <v>15840</v>
      </c>
      <c r="L112" s="27"/>
      <c r="M112" s="27"/>
      <c r="N112" s="27"/>
      <c r="O112" s="27"/>
      <c r="P112" s="83"/>
      <c r="Q112" s="83"/>
      <c r="R112" s="24"/>
      <c r="S112" s="27"/>
      <c r="T112" s="187">
        <v>1</v>
      </c>
      <c r="U112" s="188">
        <v>15840</v>
      </c>
      <c r="V112" s="27"/>
      <c r="W112" s="27"/>
      <c r="X112" s="167"/>
      <c r="Y112" s="168"/>
      <c r="Z112" s="168"/>
      <c r="AA112" s="168"/>
      <c r="AB112" s="168"/>
      <c r="AC112" s="168"/>
      <c r="AD112" s="168"/>
      <c r="AE112" s="168"/>
    </row>
    <row r="113" spans="1:256" s="141" customFormat="1" x14ac:dyDescent="0.25">
      <c r="A113" s="138">
        <v>10.130000000000001</v>
      </c>
      <c r="B113" s="110">
        <v>52.47</v>
      </c>
      <c r="C113" s="110">
        <v>2212000</v>
      </c>
      <c r="D113" s="43" t="s">
        <v>88</v>
      </c>
      <c r="E113" s="43"/>
      <c r="F113" s="110">
        <v>796</v>
      </c>
      <c r="G113" s="129" t="s">
        <v>17</v>
      </c>
      <c r="H113" s="129">
        <v>1</v>
      </c>
      <c r="I113" s="151">
        <v>98401</v>
      </c>
      <c r="J113" s="83" t="s">
        <v>429</v>
      </c>
      <c r="K113" s="24">
        <v>4200</v>
      </c>
      <c r="L113" s="24"/>
      <c r="M113" s="24"/>
      <c r="N113" s="24"/>
      <c r="O113" s="24"/>
      <c r="P113" s="83"/>
      <c r="Q113" s="83"/>
      <c r="R113" s="24"/>
      <c r="S113" s="83"/>
      <c r="T113" s="191">
        <v>1</v>
      </c>
      <c r="U113" s="83">
        <v>4200</v>
      </c>
      <c r="V113" s="24"/>
      <c r="W113" s="24"/>
      <c r="X113" s="24">
        <v>3600</v>
      </c>
      <c r="Y113" s="168"/>
      <c r="Z113" s="168"/>
      <c r="AA113" s="168"/>
      <c r="AB113" s="168"/>
      <c r="AC113" s="168"/>
      <c r="AD113" s="168"/>
      <c r="AE113" s="168"/>
    </row>
    <row r="114" spans="1:256" s="141" customFormat="1" x14ac:dyDescent="0.25">
      <c r="A114" s="138">
        <v>10.14</v>
      </c>
      <c r="B114" s="110">
        <v>52.47</v>
      </c>
      <c r="C114" s="110">
        <v>2212000</v>
      </c>
      <c r="D114" s="43" t="s">
        <v>89</v>
      </c>
      <c r="E114" s="43"/>
      <c r="F114" s="110">
        <v>796</v>
      </c>
      <c r="G114" s="129" t="s">
        <v>17</v>
      </c>
      <c r="H114" s="129">
        <v>3</v>
      </c>
      <c r="I114" s="151">
        <v>98401</v>
      </c>
      <c r="J114" s="83" t="s">
        <v>429</v>
      </c>
      <c r="K114" s="24">
        <v>21420</v>
      </c>
      <c r="L114" s="24"/>
      <c r="M114" s="24"/>
      <c r="N114" s="24"/>
      <c r="O114" s="24"/>
      <c r="P114" s="83"/>
      <c r="Q114" s="83"/>
      <c r="R114" s="24"/>
      <c r="S114" s="24"/>
      <c r="T114" s="83"/>
      <c r="U114" s="83"/>
      <c r="V114" s="24">
        <v>3</v>
      </c>
      <c r="W114" s="24">
        <v>21420</v>
      </c>
      <c r="X114" s="24">
        <v>21420</v>
      </c>
      <c r="Y114" s="168"/>
      <c r="Z114" s="168"/>
      <c r="AA114" s="168"/>
      <c r="AB114" s="168"/>
      <c r="AC114" s="168"/>
      <c r="AD114" s="168"/>
      <c r="AE114" s="168"/>
    </row>
    <row r="115" spans="1:256" s="141" customFormat="1" x14ac:dyDescent="0.25">
      <c r="A115" s="138">
        <v>10.15</v>
      </c>
      <c r="B115" s="110">
        <v>52.47</v>
      </c>
      <c r="C115" s="110">
        <v>2212000</v>
      </c>
      <c r="D115" s="43" t="s">
        <v>90</v>
      </c>
      <c r="E115" s="43"/>
      <c r="F115" s="110">
        <v>796</v>
      </c>
      <c r="G115" s="129" t="s">
        <v>17</v>
      </c>
      <c r="H115" s="129">
        <v>3</v>
      </c>
      <c r="I115" s="151">
        <v>98401</v>
      </c>
      <c r="J115" s="83" t="s">
        <v>429</v>
      </c>
      <c r="K115" s="24">
        <v>10800</v>
      </c>
      <c r="L115" s="24"/>
      <c r="M115" s="24"/>
      <c r="N115" s="24"/>
      <c r="O115" s="24"/>
      <c r="P115" s="83"/>
      <c r="Q115" s="83"/>
      <c r="R115" s="24"/>
      <c r="S115" s="24"/>
      <c r="T115" s="83"/>
      <c r="U115" s="83"/>
      <c r="V115" s="24">
        <v>3</v>
      </c>
      <c r="W115" s="24">
        <v>10800</v>
      </c>
      <c r="X115" s="24">
        <v>10800</v>
      </c>
      <c r="Y115" s="168"/>
      <c r="Z115" s="168"/>
      <c r="AA115" s="168"/>
      <c r="AB115" s="168"/>
      <c r="AC115" s="168"/>
      <c r="AD115" s="168"/>
      <c r="AE115" s="168"/>
    </row>
    <row r="116" spans="1:256" s="141" customFormat="1" x14ac:dyDescent="0.25">
      <c r="A116" s="138">
        <v>10.16</v>
      </c>
      <c r="B116" s="110">
        <v>52.47</v>
      </c>
      <c r="C116" s="110">
        <v>2212000</v>
      </c>
      <c r="D116" s="43" t="s">
        <v>91</v>
      </c>
      <c r="E116" s="43"/>
      <c r="F116" s="110">
        <v>796</v>
      </c>
      <c r="G116" s="129" t="s">
        <v>17</v>
      </c>
      <c r="H116" s="129">
        <v>1</v>
      </c>
      <c r="I116" s="151">
        <v>98401</v>
      </c>
      <c r="J116" s="83" t="s">
        <v>429</v>
      </c>
      <c r="K116" s="378">
        <v>53098.5</v>
      </c>
      <c r="L116" s="192"/>
      <c r="M116" s="192"/>
      <c r="N116" s="192"/>
      <c r="O116" s="192"/>
      <c r="P116" s="83"/>
      <c r="Q116" s="83"/>
      <c r="R116" s="24"/>
      <c r="S116" s="24"/>
      <c r="T116" s="83"/>
      <c r="U116" s="83"/>
      <c r="V116" s="24">
        <v>1</v>
      </c>
      <c r="W116" s="378">
        <v>53098.5</v>
      </c>
      <c r="X116" s="378">
        <v>53098.5</v>
      </c>
      <c r="Y116" s="168"/>
      <c r="Z116" s="168"/>
      <c r="AA116" s="168"/>
      <c r="AB116" s="168"/>
      <c r="AC116" s="168"/>
      <c r="AD116" s="168"/>
      <c r="AE116" s="168"/>
    </row>
    <row r="117" spans="1:256" s="141" customFormat="1" x14ac:dyDescent="0.25">
      <c r="A117" s="138">
        <v>10.17</v>
      </c>
      <c r="B117" s="110">
        <v>52.47</v>
      </c>
      <c r="C117" s="110">
        <v>2212000</v>
      </c>
      <c r="D117" s="43" t="s">
        <v>92</v>
      </c>
      <c r="E117" s="43"/>
      <c r="F117" s="110">
        <v>796</v>
      </c>
      <c r="G117" s="129" t="s">
        <v>17</v>
      </c>
      <c r="H117" s="129">
        <v>1</v>
      </c>
      <c r="I117" s="151">
        <v>98401</v>
      </c>
      <c r="J117" s="83" t="s">
        <v>429</v>
      </c>
      <c r="K117" s="379"/>
      <c r="L117" s="193"/>
      <c r="M117" s="193"/>
      <c r="N117" s="193"/>
      <c r="O117" s="193"/>
      <c r="P117" s="83"/>
      <c r="Q117" s="83"/>
      <c r="R117" s="24"/>
      <c r="S117" s="24"/>
      <c r="T117" s="83"/>
      <c r="U117" s="83"/>
      <c r="V117" s="24">
        <v>1</v>
      </c>
      <c r="W117" s="379"/>
      <c r="X117" s="379"/>
      <c r="Y117" s="168"/>
      <c r="Z117" s="168"/>
      <c r="AA117" s="168"/>
      <c r="AB117" s="168"/>
      <c r="AC117" s="168"/>
      <c r="AD117" s="168"/>
      <c r="AE117" s="168"/>
    </row>
    <row r="118" spans="1:256" s="141" customFormat="1" x14ac:dyDescent="0.25">
      <c r="A118" s="138">
        <v>10.18</v>
      </c>
      <c r="B118" s="110">
        <v>52.47</v>
      </c>
      <c r="C118" s="110">
        <v>2212000</v>
      </c>
      <c r="D118" s="43" t="s">
        <v>93</v>
      </c>
      <c r="E118" s="43"/>
      <c r="F118" s="110">
        <v>796</v>
      </c>
      <c r="G118" s="129" t="s">
        <v>17</v>
      </c>
      <c r="H118" s="129">
        <v>1</v>
      </c>
      <c r="I118" s="151">
        <v>98401</v>
      </c>
      <c r="J118" s="83" t="s">
        <v>429</v>
      </c>
      <c r="K118" s="379"/>
      <c r="L118" s="193"/>
      <c r="M118" s="193"/>
      <c r="N118" s="193"/>
      <c r="O118" s="193"/>
      <c r="P118" s="83"/>
      <c r="Q118" s="83"/>
      <c r="R118" s="24"/>
      <c r="S118" s="24"/>
      <c r="T118" s="83"/>
      <c r="U118" s="83"/>
      <c r="V118" s="24">
        <v>1</v>
      </c>
      <c r="W118" s="379"/>
      <c r="X118" s="379"/>
      <c r="Y118" s="168"/>
      <c r="Z118" s="168"/>
      <c r="AA118" s="168"/>
      <c r="AB118" s="168"/>
      <c r="AC118" s="168"/>
      <c r="AD118" s="168"/>
      <c r="AE118" s="168"/>
    </row>
    <row r="119" spans="1:256" s="141" customFormat="1" x14ac:dyDescent="0.25">
      <c r="A119" s="138">
        <v>10.19</v>
      </c>
      <c r="B119" s="110">
        <v>52.47</v>
      </c>
      <c r="C119" s="110">
        <v>2212000</v>
      </c>
      <c r="D119" s="43" t="s">
        <v>94</v>
      </c>
      <c r="E119" s="43"/>
      <c r="F119" s="110">
        <v>796</v>
      </c>
      <c r="G119" s="129" t="s">
        <v>17</v>
      </c>
      <c r="H119" s="129">
        <v>1</v>
      </c>
      <c r="I119" s="151">
        <v>98401</v>
      </c>
      <c r="J119" s="83" t="s">
        <v>429</v>
      </c>
      <c r="K119" s="379"/>
      <c r="L119" s="193"/>
      <c r="M119" s="193"/>
      <c r="N119" s="193"/>
      <c r="O119" s="193"/>
      <c r="P119" s="83"/>
      <c r="Q119" s="83"/>
      <c r="R119" s="24"/>
      <c r="S119" s="24"/>
      <c r="T119" s="83"/>
      <c r="U119" s="83"/>
      <c r="V119" s="24">
        <v>1</v>
      </c>
      <c r="W119" s="379"/>
      <c r="X119" s="379"/>
      <c r="Y119" s="168"/>
      <c r="Z119" s="168"/>
      <c r="AA119" s="168"/>
      <c r="AB119" s="168"/>
      <c r="AC119" s="168"/>
      <c r="AD119" s="168"/>
      <c r="AE119" s="168"/>
    </row>
    <row r="120" spans="1:256" s="141" customFormat="1" x14ac:dyDescent="0.25">
      <c r="A120" s="138">
        <v>10.199999999999999</v>
      </c>
      <c r="B120" s="110">
        <v>52.47</v>
      </c>
      <c r="C120" s="110">
        <v>2212000</v>
      </c>
      <c r="D120" s="43" t="s">
        <v>95</v>
      </c>
      <c r="E120" s="43"/>
      <c r="F120" s="110">
        <v>796</v>
      </c>
      <c r="G120" s="129" t="s">
        <v>17</v>
      </c>
      <c r="H120" s="129">
        <v>1</v>
      </c>
      <c r="I120" s="151">
        <v>98401</v>
      </c>
      <c r="J120" s="83" t="s">
        <v>429</v>
      </c>
      <c r="K120" s="379"/>
      <c r="L120" s="193"/>
      <c r="M120" s="193"/>
      <c r="N120" s="193"/>
      <c r="O120" s="193"/>
      <c r="P120" s="83"/>
      <c r="Q120" s="83"/>
      <c r="R120" s="24"/>
      <c r="S120" s="24"/>
      <c r="T120" s="83"/>
      <c r="U120" s="83"/>
      <c r="V120" s="24">
        <v>1</v>
      </c>
      <c r="W120" s="379"/>
      <c r="X120" s="379"/>
      <c r="Y120" s="168"/>
      <c r="Z120" s="168"/>
      <c r="AA120" s="168"/>
      <c r="AB120" s="168"/>
      <c r="AC120" s="168"/>
      <c r="AD120" s="168"/>
      <c r="AE120" s="168"/>
    </row>
    <row r="121" spans="1:256" s="141" customFormat="1" x14ac:dyDescent="0.25">
      <c r="A121" s="138">
        <v>10.210000000000001</v>
      </c>
      <c r="B121" s="110">
        <v>52.47</v>
      </c>
      <c r="C121" s="110">
        <v>2212000</v>
      </c>
      <c r="D121" s="43" t="s">
        <v>96</v>
      </c>
      <c r="E121" s="43"/>
      <c r="F121" s="110">
        <v>796</v>
      </c>
      <c r="G121" s="129" t="s">
        <v>17</v>
      </c>
      <c r="H121" s="129">
        <v>1</v>
      </c>
      <c r="I121" s="151">
        <v>98401</v>
      </c>
      <c r="J121" s="83" t="s">
        <v>429</v>
      </c>
      <c r="K121" s="380"/>
      <c r="L121" s="194"/>
      <c r="M121" s="194"/>
      <c r="N121" s="194"/>
      <c r="O121" s="194"/>
      <c r="P121" s="83"/>
      <c r="Q121" s="83"/>
      <c r="R121" s="24"/>
      <c r="S121" s="24"/>
      <c r="T121" s="83"/>
      <c r="U121" s="83"/>
      <c r="V121" s="24">
        <v>1</v>
      </c>
      <c r="W121" s="380"/>
      <c r="X121" s="380"/>
      <c r="Y121" s="168"/>
      <c r="Z121" s="168"/>
      <c r="AA121" s="168"/>
      <c r="AB121" s="168"/>
      <c r="AC121" s="168"/>
      <c r="AD121" s="168"/>
      <c r="AE121" s="168"/>
    </row>
    <row r="122" spans="1:256" s="141" customFormat="1" x14ac:dyDescent="0.25">
      <c r="A122" s="138"/>
      <c r="B122" s="165"/>
      <c r="C122" s="110"/>
      <c r="D122" s="43"/>
      <c r="E122" s="43"/>
      <c r="F122" s="11"/>
      <c r="G122" s="129"/>
      <c r="H122" s="129"/>
      <c r="I122" s="185"/>
      <c r="J122" s="83"/>
      <c r="K122" s="45">
        <v>141418.5</v>
      </c>
      <c r="L122" s="45"/>
      <c r="M122" s="45"/>
      <c r="N122" s="45"/>
      <c r="O122" s="45"/>
      <c r="P122" s="83"/>
      <c r="Q122" s="83"/>
      <c r="R122" s="24"/>
      <c r="S122" s="45">
        <v>18030</v>
      </c>
      <c r="T122" s="83"/>
      <c r="U122" s="170">
        <v>20040</v>
      </c>
      <c r="V122" s="83"/>
      <c r="W122" s="45">
        <v>103348.5</v>
      </c>
      <c r="X122" s="167"/>
      <c r="Y122" s="168"/>
      <c r="Z122" s="168"/>
      <c r="AA122" s="168"/>
      <c r="AB122" s="168"/>
      <c r="AC122" s="168"/>
      <c r="AD122" s="168"/>
      <c r="AE122" s="168"/>
    </row>
    <row r="123" spans="1:256" s="164" customFormat="1" ht="14.25" x14ac:dyDescent="0.2">
      <c r="A123" s="140">
        <v>11</v>
      </c>
      <c r="B123" s="156"/>
      <c r="C123" s="157"/>
      <c r="D123" s="158" t="s">
        <v>344</v>
      </c>
      <c r="E123" s="158"/>
      <c r="F123" s="159"/>
      <c r="G123" s="160"/>
      <c r="H123" s="160"/>
      <c r="I123" s="161"/>
      <c r="J123" s="162"/>
      <c r="K123" s="162"/>
      <c r="L123" s="162"/>
      <c r="M123" s="162"/>
      <c r="N123" s="162"/>
      <c r="O123" s="162"/>
      <c r="P123" s="162"/>
      <c r="Q123" s="162"/>
      <c r="R123" s="162"/>
      <c r="S123" s="162"/>
      <c r="T123" s="162"/>
      <c r="U123" s="162"/>
      <c r="V123" s="162"/>
      <c r="W123" s="162"/>
      <c r="X123" s="163"/>
      <c r="Y123" s="140"/>
      <c r="Z123" s="156"/>
      <c r="AA123" s="157"/>
      <c r="AB123" s="158"/>
      <c r="AC123" s="158"/>
      <c r="AD123" s="159"/>
      <c r="AE123" s="160"/>
      <c r="AF123" s="160"/>
      <c r="AG123" s="162"/>
      <c r="AH123" s="162"/>
      <c r="AI123" s="162"/>
      <c r="AJ123" s="162"/>
      <c r="AK123" s="162"/>
      <c r="AL123" s="162"/>
      <c r="AM123" s="162"/>
      <c r="AN123" s="162"/>
      <c r="AO123" s="162"/>
      <c r="AP123" s="162"/>
      <c r="AQ123" s="162"/>
      <c r="AR123" s="162"/>
      <c r="AS123" s="162"/>
      <c r="AT123" s="162"/>
      <c r="AU123" s="162"/>
      <c r="AV123" s="163"/>
      <c r="AW123" s="140"/>
      <c r="AX123" s="156"/>
      <c r="AY123" s="157"/>
      <c r="AZ123" s="158"/>
      <c r="BA123" s="158"/>
      <c r="BB123" s="159"/>
      <c r="BC123" s="160"/>
      <c r="BD123" s="160"/>
      <c r="BE123" s="162"/>
      <c r="BF123" s="162"/>
      <c r="BG123" s="162"/>
      <c r="BH123" s="162"/>
      <c r="BI123" s="162"/>
      <c r="BJ123" s="162"/>
      <c r="BK123" s="162"/>
      <c r="BL123" s="162"/>
      <c r="BM123" s="162"/>
      <c r="BN123" s="162"/>
      <c r="BO123" s="162"/>
      <c r="BP123" s="162"/>
      <c r="BQ123" s="162"/>
      <c r="BR123" s="162"/>
      <c r="BS123" s="162"/>
      <c r="BT123" s="163"/>
      <c r="BU123" s="140"/>
      <c r="BV123" s="156"/>
      <c r="BW123" s="157"/>
      <c r="BX123" s="158"/>
      <c r="BY123" s="158"/>
      <c r="BZ123" s="159"/>
      <c r="CA123" s="160"/>
      <c r="CB123" s="160"/>
      <c r="CC123" s="162"/>
      <c r="CD123" s="162"/>
      <c r="CE123" s="162"/>
      <c r="CF123" s="162"/>
      <c r="CG123" s="162"/>
      <c r="CH123" s="162"/>
      <c r="CI123" s="162"/>
      <c r="CJ123" s="162"/>
      <c r="CK123" s="162"/>
      <c r="CL123" s="162"/>
      <c r="CM123" s="162"/>
      <c r="CN123" s="162"/>
      <c r="CO123" s="162"/>
      <c r="CP123" s="162"/>
      <c r="CQ123" s="162"/>
      <c r="CR123" s="163"/>
      <c r="CS123" s="140"/>
      <c r="CT123" s="156"/>
      <c r="CU123" s="157"/>
      <c r="CV123" s="158"/>
      <c r="CW123" s="158"/>
      <c r="CX123" s="159"/>
      <c r="CY123" s="160"/>
      <c r="CZ123" s="160"/>
      <c r="DA123" s="162"/>
      <c r="DB123" s="162"/>
      <c r="DC123" s="162"/>
      <c r="DD123" s="162"/>
      <c r="DE123" s="162"/>
      <c r="DF123" s="162"/>
      <c r="DG123" s="162"/>
      <c r="DH123" s="162"/>
      <c r="DI123" s="162"/>
      <c r="DJ123" s="162"/>
      <c r="DK123" s="162"/>
      <c r="DL123" s="162"/>
      <c r="DM123" s="162"/>
      <c r="DN123" s="162"/>
      <c r="DO123" s="162"/>
      <c r="DP123" s="163"/>
      <c r="DQ123" s="140"/>
      <c r="DR123" s="156"/>
      <c r="DS123" s="157"/>
      <c r="DT123" s="158"/>
      <c r="DU123" s="158"/>
      <c r="DV123" s="159"/>
      <c r="DW123" s="160"/>
      <c r="DX123" s="160"/>
      <c r="DY123" s="162"/>
      <c r="DZ123" s="162"/>
      <c r="EA123" s="162"/>
      <c r="EB123" s="162"/>
      <c r="EC123" s="162"/>
      <c r="ED123" s="162"/>
      <c r="EE123" s="162"/>
      <c r="EF123" s="162"/>
      <c r="EG123" s="162"/>
      <c r="EH123" s="162"/>
      <c r="EI123" s="162"/>
      <c r="EJ123" s="162"/>
      <c r="EK123" s="162"/>
      <c r="EL123" s="162"/>
      <c r="EM123" s="162"/>
      <c r="EN123" s="163"/>
      <c r="EO123" s="140"/>
      <c r="EP123" s="156"/>
      <c r="EQ123" s="157"/>
      <c r="ER123" s="158"/>
      <c r="ES123" s="158"/>
      <c r="ET123" s="159"/>
      <c r="EU123" s="160"/>
      <c r="EV123" s="160"/>
      <c r="EW123" s="162"/>
      <c r="EX123" s="162"/>
      <c r="EY123" s="162"/>
      <c r="EZ123" s="162"/>
      <c r="FA123" s="162"/>
      <c r="FB123" s="162"/>
      <c r="FC123" s="162"/>
      <c r="FD123" s="162"/>
      <c r="FE123" s="162"/>
      <c r="FF123" s="162"/>
      <c r="FG123" s="162"/>
      <c r="FH123" s="162"/>
      <c r="FI123" s="162"/>
      <c r="FJ123" s="162"/>
      <c r="FK123" s="162"/>
      <c r="FL123" s="163"/>
      <c r="FM123" s="140"/>
      <c r="FN123" s="156"/>
      <c r="FO123" s="157"/>
      <c r="FP123" s="158"/>
      <c r="FQ123" s="158"/>
      <c r="FR123" s="159"/>
      <c r="FS123" s="160"/>
      <c r="FT123" s="160"/>
      <c r="FU123" s="162"/>
      <c r="FV123" s="162"/>
      <c r="FW123" s="162"/>
      <c r="FX123" s="162"/>
      <c r="FY123" s="162"/>
      <c r="FZ123" s="162"/>
      <c r="GA123" s="162"/>
      <c r="GB123" s="162"/>
      <c r="GC123" s="162"/>
      <c r="GD123" s="162"/>
      <c r="GE123" s="162"/>
      <c r="GF123" s="162"/>
      <c r="GG123" s="162"/>
      <c r="GH123" s="162"/>
      <c r="GI123" s="162"/>
      <c r="GJ123" s="163"/>
      <c r="GK123" s="140"/>
      <c r="GL123" s="156"/>
      <c r="GM123" s="157"/>
      <c r="GN123" s="158"/>
      <c r="GO123" s="158"/>
      <c r="GP123" s="159"/>
      <c r="GQ123" s="160"/>
      <c r="GR123" s="160"/>
      <c r="GS123" s="162"/>
      <c r="GT123" s="162"/>
      <c r="GU123" s="162"/>
      <c r="GV123" s="162"/>
      <c r="GW123" s="162"/>
      <c r="GX123" s="162"/>
      <c r="GY123" s="162"/>
      <c r="GZ123" s="162"/>
      <c r="HA123" s="162"/>
      <c r="HB123" s="162"/>
      <c r="HC123" s="162"/>
      <c r="HD123" s="162"/>
      <c r="HE123" s="162"/>
      <c r="HF123" s="162"/>
      <c r="HG123" s="162"/>
      <c r="HH123" s="163"/>
      <c r="HI123" s="140"/>
      <c r="HJ123" s="156"/>
      <c r="HK123" s="157"/>
      <c r="HL123" s="158"/>
      <c r="HM123" s="158"/>
      <c r="HN123" s="159"/>
      <c r="HO123" s="160"/>
      <c r="HP123" s="160"/>
      <c r="HQ123" s="162"/>
      <c r="HR123" s="162"/>
      <c r="HS123" s="162"/>
      <c r="HT123" s="162"/>
      <c r="HU123" s="162"/>
      <c r="HV123" s="162"/>
      <c r="HW123" s="162"/>
      <c r="HX123" s="162"/>
      <c r="HY123" s="162"/>
      <c r="HZ123" s="162"/>
      <c r="IA123" s="162"/>
      <c r="IB123" s="162"/>
      <c r="IC123" s="162"/>
      <c r="ID123" s="162"/>
      <c r="IE123" s="162"/>
      <c r="IF123" s="163"/>
      <c r="IG123" s="140"/>
      <c r="IH123" s="156"/>
      <c r="II123" s="157"/>
      <c r="IJ123" s="158"/>
      <c r="IK123" s="158"/>
      <c r="IL123" s="159"/>
      <c r="IM123" s="160"/>
      <c r="IN123" s="160"/>
      <c r="IO123" s="162"/>
      <c r="IP123" s="162"/>
      <c r="IQ123" s="162"/>
      <c r="IR123" s="162"/>
      <c r="IS123" s="162"/>
      <c r="IT123" s="162"/>
      <c r="IU123" s="162"/>
      <c r="IV123" s="162"/>
    </row>
    <row r="124" spans="1:256" s="141" customFormat="1" x14ac:dyDescent="0.25">
      <c r="A124" s="138">
        <v>11.1</v>
      </c>
      <c r="B124" s="110">
        <v>64</v>
      </c>
      <c r="C124" s="110">
        <v>64</v>
      </c>
      <c r="D124" s="43" t="s">
        <v>97</v>
      </c>
      <c r="E124" s="43"/>
      <c r="F124" s="11">
        <v>362</v>
      </c>
      <c r="G124" s="129" t="s">
        <v>22</v>
      </c>
      <c r="H124" s="129">
        <v>12</v>
      </c>
      <c r="I124" s="151">
        <v>98401</v>
      </c>
      <c r="J124" s="83" t="s">
        <v>429</v>
      </c>
      <c r="K124" s="24">
        <v>370800</v>
      </c>
      <c r="L124" s="24"/>
      <c r="M124" s="24"/>
      <c r="N124" s="24"/>
      <c r="O124" s="24"/>
      <c r="P124" s="83">
        <v>12</v>
      </c>
      <c r="Q124" s="83">
        <v>170800</v>
      </c>
      <c r="R124" s="83"/>
      <c r="S124" s="83"/>
      <c r="T124" s="83"/>
      <c r="U124" s="83"/>
      <c r="V124" s="83">
        <v>12</v>
      </c>
      <c r="W124" s="83">
        <v>200000</v>
      </c>
      <c r="X124" s="167"/>
      <c r="Y124" s="168"/>
      <c r="Z124" s="168"/>
      <c r="AA124" s="168"/>
      <c r="AB124" s="168"/>
      <c r="AC124" s="168"/>
      <c r="AD124" s="168"/>
      <c r="AE124" s="168"/>
    </row>
    <row r="125" spans="1:256" s="141" customFormat="1" ht="60" x14ac:dyDescent="0.25">
      <c r="A125" s="138">
        <v>11.2</v>
      </c>
      <c r="B125" s="110">
        <v>64</v>
      </c>
      <c r="C125" s="110">
        <v>64</v>
      </c>
      <c r="D125" s="43" t="s">
        <v>98</v>
      </c>
      <c r="E125" s="43"/>
      <c r="F125" s="11">
        <v>362</v>
      </c>
      <c r="G125" s="129" t="s">
        <v>22</v>
      </c>
      <c r="H125" s="129">
        <v>12</v>
      </c>
      <c r="I125" s="151">
        <v>98200</v>
      </c>
      <c r="J125" s="83" t="s">
        <v>457</v>
      </c>
      <c r="K125" s="24">
        <v>1756580.82706</v>
      </c>
      <c r="L125" s="24"/>
      <c r="M125" s="24"/>
      <c r="N125" s="80" t="s">
        <v>448</v>
      </c>
      <c r="O125" s="24"/>
      <c r="P125" s="83">
        <v>12</v>
      </c>
      <c r="Q125" s="83">
        <v>1756581</v>
      </c>
      <c r="R125" s="83"/>
      <c r="S125" s="83"/>
      <c r="T125" s="83"/>
      <c r="U125" s="83"/>
      <c r="V125" s="83"/>
      <c r="W125" s="83"/>
      <c r="X125" s="167"/>
      <c r="Y125" s="168"/>
      <c r="Z125" s="168"/>
      <c r="AA125" s="168"/>
      <c r="AB125" s="168"/>
      <c r="AC125" s="168"/>
      <c r="AD125" s="168"/>
      <c r="AE125" s="168"/>
    </row>
    <row r="126" spans="1:256" s="141" customFormat="1" ht="60" x14ac:dyDescent="0.25">
      <c r="A126" s="138">
        <v>11.3</v>
      </c>
      <c r="B126" s="110" t="s">
        <v>465</v>
      </c>
      <c r="C126" s="110">
        <v>7290000</v>
      </c>
      <c r="D126" s="43" t="s">
        <v>99</v>
      </c>
      <c r="E126" s="43"/>
      <c r="F126" s="11">
        <v>362</v>
      </c>
      <c r="G126" s="129" t="s">
        <v>22</v>
      </c>
      <c r="H126" s="129">
        <v>12</v>
      </c>
      <c r="I126" s="151">
        <v>98200</v>
      </c>
      <c r="J126" s="83" t="s">
        <v>457</v>
      </c>
      <c r="K126" s="24">
        <v>1502531</v>
      </c>
      <c r="L126" s="24"/>
      <c r="M126" s="24"/>
      <c r="N126" s="24"/>
      <c r="O126" s="24"/>
      <c r="P126" s="83">
        <v>12</v>
      </c>
      <c r="Q126" s="83">
        <v>702531</v>
      </c>
      <c r="R126" s="83"/>
      <c r="S126" s="83"/>
      <c r="T126" s="83"/>
      <c r="U126" s="83"/>
      <c r="V126" s="83">
        <v>12</v>
      </c>
      <c r="W126" s="83">
        <v>800000</v>
      </c>
      <c r="X126" s="167"/>
      <c r="Y126" s="168"/>
      <c r="Z126" s="168"/>
      <c r="AA126" s="168"/>
      <c r="AB126" s="168"/>
      <c r="AC126" s="168"/>
      <c r="AD126" s="168"/>
      <c r="AE126" s="168"/>
    </row>
    <row r="127" spans="1:256" s="141" customFormat="1" ht="60" x14ac:dyDescent="0.25">
      <c r="A127" s="138">
        <v>11.4</v>
      </c>
      <c r="B127" s="110" t="s">
        <v>465</v>
      </c>
      <c r="C127" s="110">
        <v>7290000</v>
      </c>
      <c r="D127" s="43" t="s">
        <v>100</v>
      </c>
      <c r="E127" s="43"/>
      <c r="F127" s="110">
        <v>796</v>
      </c>
      <c r="G127" s="129" t="s">
        <v>17</v>
      </c>
      <c r="H127" s="129">
        <v>17</v>
      </c>
      <c r="I127" s="151">
        <v>98200</v>
      </c>
      <c r="J127" s="83" t="s">
        <v>457</v>
      </c>
      <c r="K127" s="24">
        <v>50150</v>
      </c>
      <c r="L127" s="24"/>
      <c r="M127" s="24"/>
      <c r="N127" s="80" t="s">
        <v>448</v>
      </c>
      <c r="O127" s="24"/>
      <c r="P127" s="24">
        <v>15</v>
      </c>
      <c r="Q127" s="24">
        <v>50150</v>
      </c>
      <c r="R127" s="83"/>
      <c r="S127" s="83"/>
      <c r="T127" s="83"/>
      <c r="U127" s="83"/>
      <c r="V127" s="83"/>
      <c r="W127" s="83"/>
      <c r="X127" s="167"/>
      <c r="Y127" s="168"/>
      <c r="Z127" s="168"/>
      <c r="AA127" s="168"/>
      <c r="AB127" s="168"/>
      <c r="AC127" s="168"/>
      <c r="AD127" s="168"/>
      <c r="AE127" s="168"/>
    </row>
    <row r="128" spans="1:256" s="141" customFormat="1" ht="60" x14ac:dyDescent="0.25">
      <c r="A128" s="138">
        <v>11.5</v>
      </c>
      <c r="B128" s="110">
        <v>64.099999999999994</v>
      </c>
      <c r="C128" s="110">
        <v>64</v>
      </c>
      <c r="D128" s="43" t="s">
        <v>356</v>
      </c>
      <c r="E128" s="43"/>
      <c r="F128" s="11"/>
      <c r="G128" s="129"/>
      <c r="H128" s="129"/>
      <c r="I128" s="151">
        <v>98200</v>
      </c>
      <c r="J128" s="83" t="s">
        <v>457</v>
      </c>
      <c r="K128" s="24">
        <v>80000</v>
      </c>
      <c r="L128" s="24"/>
      <c r="M128" s="24"/>
      <c r="N128" s="24"/>
      <c r="O128" s="24"/>
      <c r="P128" s="24"/>
      <c r="Q128" s="24">
        <v>20000</v>
      </c>
      <c r="R128" s="83"/>
      <c r="S128" s="83">
        <v>20000</v>
      </c>
      <c r="T128" s="83"/>
      <c r="U128" s="83">
        <v>20000</v>
      </c>
      <c r="V128" s="83"/>
      <c r="W128" s="83">
        <v>20000</v>
      </c>
      <c r="X128" s="167"/>
      <c r="Y128" s="168"/>
      <c r="Z128" s="168"/>
      <c r="AA128" s="168"/>
      <c r="AB128" s="168"/>
      <c r="AC128" s="168"/>
      <c r="AD128" s="168"/>
      <c r="AE128" s="168"/>
    </row>
    <row r="129" spans="1:256" s="141" customFormat="1" x14ac:dyDescent="0.25">
      <c r="A129" s="138"/>
      <c r="B129" s="165"/>
      <c r="C129" s="110"/>
      <c r="D129" s="43"/>
      <c r="E129" s="43"/>
      <c r="F129" s="11"/>
      <c r="G129" s="129"/>
      <c r="H129" s="129"/>
      <c r="I129" s="185"/>
      <c r="J129" s="24"/>
      <c r="K129" s="45">
        <v>3760061.82706</v>
      </c>
      <c r="L129" s="45"/>
      <c r="M129" s="45"/>
      <c r="N129" s="45"/>
      <c r="O129" s="45"/>
      <c r="P129" s="24"/>
      <c r="Q129" s="45">
        <v>2700062</v>
      </c>
      <c r="R129" s="83"/>
      <c r="S129" s="45">
        <v>20000</v>
      </c>
      <c r="T129" s="83"/>
      <c r="U129" s="45">
        <v>20000</v>
      </c>
      <c r="V129" s="83"/>
      <c r="W129" s="45">
        <v>1020000</v>
      </c>
      <c r="X129" s="167"/>
      <c r="Y129" s="171"/>
      <c r="Z129" s="168"/>
      <c r="AA129" s="168"/>
      <c r="AB129" s="168"/>
      <c r="AC129" s="168"/>
      <c r="AD129" s="168"/>
      <c r="AE129" s="168"/>
    </row>
    <row r="130" spans="1:256" s="164" customFormat="1" ht="14.25" x14ac:dyDescent="0.2">
      <c r="A130" s="140">
        <v>12</v>
      </c>
      <c r="B130" s="156"/>
      <c r="C130" s="157"/>
      <c r="D130" s="158" t="s">
        <v>101</v>
      </c>
      <c r="E130" s="158"/>
      <c r="F130" s="159"/>
      <c r="G130" s="160"/>
      <c r="H130" s="160"/>
      <c r="I130" s="161"/>
      <c r="J130" s="162"/>
      <c r="K130" s="162"/>
      <c r="L130" s="162"/>
      <c r="M130" s="162"/>
      <c r="N130" s="162"/>
      <c r="O130" s="162"/>
      <c r="P130" s="162"/>
      <c r="Q130" s="162"/>
      <c r="R130" s="162"/>
      <c r="S130" s="162"/>
      <c r="T130" s="162"/>
      <c r="U130" s="162"/>
      <c r="V130" s="162"/>
      <c r="W130" s="162"/>
      <c r="X130" s="163"/>
      <c r="Y130" s="140"/>
      <c r="Z130" s="156"/>
      <c r="AA130" s="157"/>
      <c r="AB130" s="158"/>
      <c r="AC130" s="158"/>
      <c r="AD130" s="159"/>
      <c r="AE130" s="160"/>
      <c r="AF130" s="160"/>
      <c r="AG130" s="162"/>
      <c r="AH130" s="162"/>
      <c r="AI130" s="162"/>
      <c r="AJ130" s="162"/>
      <c r="AK130" s="162"/>
      <c r="AL130" s="162"/>
      <c r="AM130" s="162"/>
      <c r="AN130" s="162"/>
      <c r="AO130" s="162"/>
      <c r="AP130" s="162"/>
      <c r="AQ130" s="162"/>
      <c r="AR130" s="162"/>
      <c r="AS130" s="162"/>
      <c r="AT130" s="162"/>
      <c r="AU130" s="162"/>
      <c r="AV130" s="163"/>
      <c r="AW130" s="140"/>
      <c r="AX130" s="156"/>
      <c r="AY130" s="157"/>
      <c r="AZ130" s="158"/>
      <c r="BA130" s="158"/>
      <c r="BB130" s="159"/>
      <c r="BC130" s="160"/>
      <c r="BD130" s="160"/>
      <c r="BE130" s="162"/>
      <c r="BF130" s="162"/>
      <c r="BG130" s="162"/>
      <c r="BH130" s="162"/>
      <c r="BI130" s="162"/>
      <c r="BJ130" s="162"/>
      <c r="BK130" s="162"/>
      <c r="BL130" s="162"/>
      <c r="BM130" s="162"/>
      <c r="BN130" s="162"/>
      <c r="BO130" s="162"/>
      <c r="BP130" s="162"/>
      <c r="BQ130" s="162"/>
      <c r="BR130" s="162"/>
      <c r="BS130" s="162"/>
      <c r="BT130" s="163"/>
      <c r="BU130" s="140"/>
      <c r="BV130" s="156"/>
      <c r="BW130" s="157"/>
      <c r="BX130" s="158"/>
      <c r="BY130" s="158"/>
      <c r="BZ130" s="159"/>
      <c r="CA130" s="160"/>
      <c r="CB130" s="160"/>
      <c r="CC130" s="162"/>
      <c r="CD130" s="162"/>
      <c r="CE130" s="162"/>
      <c r="CF130" s="162"/>
      <c r="CG130" s="162"/>
      <c r="CH130" s="162"/>
      <c r="CI130" s="162"/>
      <c r="CJ130" s="162"/>
      <c r="CK130" s="162"/>
      <c r="CL130" s="162"/>
      <c r="CM130" s="162"/>
      <c r="CN130" s="162"/>
      <c r="CO130" s="162"/>
      <c r="CP130" s="162"/>
      <c r="CQ130" s="162"/>
      <c r="CR130" s="163"/>
      <c r="CS130" s="140"/>
      <c r="CT130" s="156"/>
      <c r="CU130" s="157"/>
      <c r="CV130" s="158"/>
      <c r="CW130" s="158"/>
      <c r="CX130" s="159"/>
      <c r="CY130" s="160"/>
      <c r="CZ130" s="160"/>
      <c r="DA130" s="162"/>
      <c r="DB130" s="162"/>
      <c r="DC130" s="162"/>
      <c r="DD130" s="162"/>
      <c r="DE130" s="162"/>
      <c r="DF130" s="162"/>
      <c r="DG130" s="162"/>
      <c r="DH130" s="162"/>
      <c r="DI130" s="162"/>
      <c r="DJ130" s="162"/>
      <c r="DK130" s="162"/>
      <c r="DL130" s="162"/>
      <c r="DM130" s="162"/>
      <c r="DN130" s="162"/>
      <c r="DO130" s="162"/>
      <c r="DP130" s="163"/>
      <c r="DQ130" s="140"/>
      <c r="DR130" s="156"/>
      <c r="DS130" s="157"/>
      <c r="DT130" s="158"/>
      <c r="DU130" s="158"/>
      <c r="DV130" s="159"/>
      <c r="DW130" s="160"/>
      <c r="DX130" s="160"/>
      <c r="DY130" s="162"/>
      <c r="DZ130" s="162"/>
      <c r="EA130" s="162"/>
      <c r="EB130" s="162"/>
      <c r="EC130" s="162"/>
      <c r="ED130" s="162"/>
      <c r="EE130" s="162"/>
      <c r="EF130" s="162"/>
      <c r="EG130" s="162"/>
      <c r="EH130" s="162"/>
      <c r="EI130" s="162"/>
      <c r="EJ130" s="162"/>
      <c r="EK130" s="162"/>
      <c r="EL130" s="162"/>
      <c r="EM130" s="162"/>
      <c r="EN130" s="163"/>
      <c r="EO130" s="140"/>
      <c r="EP130" s="156"/>
      <c r="EQ130" s="157"/>
      <c r="ER130" s="158"/>
      <c r="ES130" s="158"/>
      <c r="ET130" s="159"/>
      <c r="EU130" s="160"/>
      <c r="EV130" s="160"/>
      <c r="EW130" s="162"/>
      <c r="EX130" s="162"/>
      <c r="EY130" s="162"/>
      <c r="EZ130" s="162"/>
      <c r="FA130" s="162"/>
      <c r="FB130" s="162"/>
      <c r="FC130" s="162"/>
      <c r="FD130" s="162"/>
      <c r="FE130" s="162"/>
      <c r="FF130" s="162"/>
      <c r="FG130" s="162"/>
      <c r="FH130" s="162"/>
      <c r="FI130" s="162"/>
      <c r="FJ130" s="162"/>
      <c r="FK130" s="162"/>
      <c r="FL130" s="163"/>
      <c r="FM130" s="140"/>
      <c r="FN130" s="156"/>
      <c r="FO130" s="157"/>
      <c r="FP130" s="158"/>
      <c r="FQ130" s="158"/>
      <c r="FR130" s="159"/>
      <c r="FS130" s="160"/>
      <c r="FT130" s="160"/>
      <c r="FU130" s="162"/>
      <c r="FV130" s="162"/>
      <c r="FW130" s="162"/>
      <c r="FX130" s="162"/>
      <c r="FY130" s="162"/>
      <c r="FZ130" s="162"/>
      <c r="GA130" s="162"/>
      <c r="GB130" s="162"/>
      <c r="GC130" s="162"/>
      <c r="GD130" s="162"/>
      <c r="GE130" s="162"/>
      <c r="GF130" s="162"/>
      <c r="GG130" s="162"/>
      <c r="GH130" s="162"/>
      <c r="GI130" s="162"/>
      <c r="GJ130" s="163"/>
      <c r="GK130" s="140"/>
      <c r="GL130" s="156"/>
      <c r="GM130" s="157"/>
      <c r="GN130" s="158"/>
      <c r="GO130" s="158"/>
      <c r="GP130" s="159"/>
      <c r="GQ130" s="160"/>
      <c r="GR130" s="160"/>
      <c r="GS130" s="162"/>
      <c r="GT130" s="162"/>
      <c r="GU130" s="162"/>
      <c r="GV130" s="162"/>
      <c r="GW130" s="162"/>
      <c r="GX130" s="162"/>
      <c r="GY130" s="162"/>
      <c r="GZ130" s="162"/>
      <c r="HA130" s="162"/>
      <c r="HB130" s="162"/>
      <c r="HC130" s="162"/>
      <c r="HD130" s="162"/>
      <c r="HE130" s="162"/>
      <c r="HF130" s="162"/>
      <c r="HG130" s="162"/>
      <c r="HH130" s="163"/>
      <c r="HI130" s="140"/>
      <c r="HJ130" s="156"/>
      <c r="HK130" s="157"/>
      <c r="HL130" s="158"/>
      <c r="HM130" s="158"/>
      <c r="HN130" s="159"/>
      <c r="HO130" s="160"/>
      <c r="HP130" s="160"/>
      <c r="HQ130" s="162"/>
      <c r="HR130" s="162"/>
      <c r="HS130" s="162"/>
      <c r="HT130" s="162"/>
      <c r="HU130" s="162"/>
      <c r="HV130" s="162"/>
      <c r="HW130" s="162"/>
      <c r="HX130" s="162"/>
      <c r="HY130" s="162"/>
      <c r="HZ130" s="162"/>
      <c r="IA130" s="162"/>
      <c r="IB130" s="162"/>
      <c r="IC130" s="162"/>
      <c r="ID130" s="162"/>
      <c r="IE130" s="162"/>
      <c r="IF130" s="163"/>
      <c r="IG130" s="140"/>
      <c r="IH130" s="156"/>
      <c r="II130" s="157"/>
      <c r="IJ130" s="158"/>
      <c r="IK130" s="158"/>
      <c r="IL130" s="159"/>
      <c r="IM130" s="160"/>
      <c r="IN130" s="160"/>
      <c r="IO130" s="162"/>
      <c r="IP130" s="162"/>
      <c r="IQ130" s="162"/>
      <c r="IR130" s="162"/>
      <c r="IS130" s="162"/>
      <c r="IT130" s="162"/>
      <c r="IU130" s="162"/>
      <c r="IV130" s="162"/>
    </row>
    <row r="131" spans="1:256" s="141" customFormat="1" x14ac:dyDescent="0.25">
      <c r="A131" s="138">
        <v>12.1</v>
      </c>
      <c r="B131" s="165" t="s">
        <v>425</v>
      </c>
      <c r="C131" s="110">
        <v>8090010</v>
      </c>
      <c r="D131" s="80" t="s">
        <v>102</v>
      </c>
      <c r="E131" s="43"/>
      <c r="F131" s="114">
        <v>792</v>
      </c>
      <c r="G131" s="129" t="s">
        <v>103</v>
      </c>
      <c r="H131" s="129">
        <v>29</v>
      </c>
      <c r="I131" s="151">
        <v>98401</v>
      </c>
      <c r="J131" s="83" t="s">
        <v>429</v>
      </c>
      <c r="K131" s="24">
        <v>507500</v>
      </c>
      <c r="L131" s="24"/>
      <c r="M131" s="24"/>
      <c r="N131" s="24"/>
      <c r="O131" s="24"/>
      <c r="P131" s="83">
        <v>29</v>
      </c>
      <c r="Q131" s="83">
        <v>507500</v>
      </c>
      <c r="R131" s="83"/>
      <c r="S131" s="83"/>
      <c r="T131" s="83"/>
      <c r="U131" s="83"/>
      <c r="V131" s="83"/>
      <c r="W131" s="83"/>
      <c r="X131" s="167"/>
      <c r="Y131" s="168"/>
      <c r="Z131" s="168"/>
      <c r="AA131" s="168"/>
      <c r="AB131" s="168"/>
      <c r="AC131" s="168"/>
      <c r="AD131" s="168"/>
      <c r="AE131" s="168"/>
    </row>
    <row r="132" spans="1:256" s="141" customFormat="1" ht="30" x14ac:dyDescent="0.25">
      <c r="A132" s="138">
        <v>12.2</v>
      </c>
      <c r="B132" s="165" t="s">
        <v>425</v>
      </c>
      <c r="C132" s="110">
        <v>8090010</v>
      </c>
      <c r="D132" s="80" t="s">
        <v>104</v>
      </c>
      <c r="E132" s="43"/>
      <c r="F132" s="114">
        <v>792</v>
      </c>
      <c r="G132" s="129" t="s">
        <v>103</v>
      </c>
      <c r="H132" s="129">
        <v>4</v>
      </c>
      <c r="I132" s="151">
        <v>98401</v>
      </c>
      <c r="J132" s="83" t="s">
        <v>429</v>
      </c>
      <c r="K132" s="24">
        <v>40000</v>
      </c>
      <c r="L132" s="24"/>
      <c r="M132" s="24"/>
      <c r="N132" s="24"/>
      <c r="O132" s="24"/>
      <c r="P132" s="83"/>
      <c r="Q132" s="83"/>
      <c r="R132" s="83"/>
      <c r="S132" s="83"/>
      <c r="T132" s="83"/>
      <c r="U132" s="83"/>
      <c r="V132" s="83">
        <v>3</v>
      </c>
      <c r="W132" s="83">
        <v>40000</v>
      </c>
      <c r="X132" s="167"/>
      <c r="Y132" s="168"/>
      <c r="Z132" s="168"/>
      <c r="AA132" s="168"/>
      <c r="AB132" s="168"/>
      <c r="AC132" s="168"/>
      <c r="AD132" s="168"/>
      <c r="AE132" s="168"/>
    </row>
    <row r="133" spans="1:256" s="141" customFormat="1" ht="30" x14ac:dyDescent="0.25">
      <c r="A133" s="138">
        <v>12.3</v>
      </c>
      <c r="B133" s="165" t="s">
        <v>425</v>
      </c>
      <c r="C133" s="110">
        <v>8090010</v>
      </c>
      <c r="D133" s="80" t="s">
        <v>105</v>
      </c>
      <c r="E133" s="43"/>
      <c r="F133" s="114">
        <v>792</v>
      </c>
      <c r="G133" s="129" t="s">
        <v>103</v>
      </c>
      <c r="H133" s="129">
        <v>39</v>
      </c>
      <c r="I133" s="151">
        <v>98401</v>
      </c>
      <c r="J133" s="83" t="s">
        <v>429</v>
      </c>
      <c r="K133" s="24">
        <v>1170000</v>
      </c>
      <c r="L133" s="24"/>
      <c r="M133" s="24"/>
      <c r="N133" s="24"/>
      <c r="O133" s="24"/>
      <c r="P133" s="83"/>
      <c r="Q133" s="83"/>
      <c r="R133" s="83"/>
      <c r="S133" s="83"/>
      <c r="T133" s="83">
        <v>39</v>
      </c>
      <c r="U133" s="83">
        <v>1170000</v>
      </c>
      <c r="V133" s="83"/>
      <c r="W133" s="83"/>
      <c r="X133" s="167"/>
      <c r="Y133" s="168"/>
      <c r="Z133" s="168"/>
      <c r="AA133" s="168"/>
      <c r="AB133" s="168"/>
      <c r="AC133" s="168"/>
      <c r="AD133" s="168"/>
      <c r="AE133" s="168"/>
    </row>
    <row r="134" spans="1:256" s="141" customFormat="1" ht="30" x14ac:dyDescent="0.25">
      <c r="A134" s="138">
        <v>12.4</v>
      </c>
      <c r="B134" s="165" t="s">
        <v>425</v>
      </c>
      <c r="C134" s="110">
        <v>8090010</v>
      </c>
      <c r="D134" s="80" t="s">
        <v>106</v>
      </c>
      <c r="E134" s="43"/>
      <c r="F134" s="114">
        <v>792</v>
      </c>
      <c r="G134" s="129" t="s">
        <v>103</v>
      </c>
      <c r="H134" s="129">
        <v>3</v>
      </c>
      <c r="I134" s="151">
        <v>98401</v>
      </c>
      <c r="J134" s="83" t="s">
        <v>429</v>
      </c>
      <c r="K134" s="24">
        <v>132700</v>
      </c>
      <c r="L134" s="24"/>
      <c r="M134" s="24"/>
      <c r="N134" s="24"/>
      <c r="O134" s="24"/>
      <c r="P134" s="83"/>
      <c r="Q134" s="83"/>
      <c r="R134" s="83"/>
      <c r="S134" s="83"/>
      <c r="T134" s="83">
        <v>3</v>
      </c>
      <c r="U134" s="83">
        <v>132700</v>
      </c>
      <c r="V134" s="83"/>
      <c r="W134" s="83"/>
      <c r="X134" s="167"/>
      <c r="Y134" s="168"/>
      <c r="Z134" s="168"/>
      <c r="AA134" s="168"/>
      <c r="AB134" s="168"/>
      <c r="AC134" s="168"/>
      <c r="AD134" s="168"/>
      <c r="AE134" s="168"/>
    </row>
    <row r="135" spans="1:256" s="141" customFormat="1" ht="30" x14ac:dyDescent="0.25">
      <c r="A135" s="138">
        <v>12.5</v>
      </c>
      <c r="B135" s="165" t="s">
        <v>425</v>
      </c>
      <c r="C135" s="110">
        <v>8090010</v>
      </c>
      <c r="D135" s="80" t="s">
        <v>107</v>
      </c>
      <c r="E135" s="43"/>
      <c r="F135" s="114">
        <v>792</v>
      </c>
      <c r="G135" s="129" t="s">
        <v>103</v>
      </c>
      <c r="H135" s="129">
        <v>4</v>
      </c>
      <c r="I135" s="151">
        <v>98401</v>
      </c>
      <c r="J135" s="83" t="s">
        <v>429</v>
      </c>
      <c r="K135" s="24">
        <v>112000</v>
      </c>
      <c r="L135" s="24"/>
      <c r="M135" s="24"/>
      <c r="N135" s="24"/>
      <c r="O135" s="24"/>
      <c r="P135" s="83">
        <v>1</v>
      </c>
      <c r="Q135" s="83">
        <v>12000</v>
      </c>
      <c r="R135" s="83"/>
      <c r="S135" s="83"/>
      <c r="T135" s="83"/>
      <c r="U135" s="83"/>
      <c r="V135" s="83">
        <v>3</v>
      </c>
      <c r="W135" s="83">
        <v>100000</v>
      </c>
      <c r="X135" s="167"/>
      <c r="Y135" s="168"/>
      <c r="Z135" s="168"/>
      <c r="AA135" s="168"/>
      <c r="AB135" s="168"/>
      <c r="AC135" s="168"/>
      <c r="AD135" s="168"/>
      <c r="AE135" s="168"/>
    </row>
    <row r="136" spans="1:256" s="141" customFormat="1" ht="30" x14ac:dyDescent="0.25">
      <c r="A136" s="138">
        <v>12.6</v>
      </c>
      <c r="B136" s="165" t="s">
        <v>425</v>
      </c>
      <c r="C136" s="110">
        <v>8090010</v>
      </c>
      <c r="D136" s="80" t="s">
        <v>108</v>
      </c>
      <c r="E136" s="43"/>
      <c r="F136" s="114">
        <v>792</v>
      </c>
      <c r="G136" s="129" t="s">
        <v>103</v>
      </c>
      <c r="H136" s="129">
        <v>8</v>
      </c>
      <c r="I136" s="151">
        <v>98401</v>
      </c>
      <c r="J136" s="83" t="s">
        <v>429</v>
      </c>
      <c r="K136" s="24">
        <v>256449</v>
      </c>
      <c r="L136" s="24"/>
      <c r="M136" s="24"/>
      <c r="N136" s="24"/>
      <c r="O136" s="24"/>
      <c r="P136" s="83"/>
      <c r="Q136" s="83"/>
      <c r="R136" s="83"/>
      <c r="S136" s="83"/>
      <c r="T136" s="83">
        <v>5</v>
      </c>
      <c r="U136" s="83">
        <v>156449</v>
      </c>
      <c r="V136" s="83">
        <v>3</v>
      </c>
      <c r="W136" s="83">
        <v>100000</v>
      </c>
      <c r="X136" s="167"/>
      <c r="Y136" s="168"/>
      <c r="Z136" s="168"/>
      <c r="AA136" s="168"/>
      <c r="AB136" s="168"/>
      <c r="AC136" s="168"/>
      <c r="AD136" s="168"/>
      <c r="AE136" s="168"/>
    </row>
    <row r="137" spans="1:256" s="141" customFormat="1" ht="30" x14ac:dyDescent="0.25">
      <c r="A137" s="138">
        <v>12.7</v>
      </c>
      <c r="B137" s="165" t="s">
        <v>425</v>
      </c>
      <c r="C137" s="110">
        <v>8090010</v>
      </c>
      <c r="D137" s="80" t="s">
        <v>109</v>
      </c>
      <c r="E137" s="43"/>
      <c r="F137" s="114">
        <v>792</v>
      </c>
      <c r="G137" s="129" t="s">
        <v>103</v>
      </c>
      <c r="H137" s="129">
        <v>2</v>
      </c>
      <c r="I137" s="151">
        <v>98401</v>
      </c>
      <c r="J137" s="83" t="s">
        <v>429</v>
      </c>
      <c r="K137" s="24">
        <v>48000</v>
      </c>
      <c r="L137" s="24"/>
      <c r="M137" s="24"/>
      <c r="N137" s="24"/>
      <c r="O137" s="24"/>
      <c r="P137" s="83"/>
      <c r="Q137" s="83"/>
      <c r="R137" s="83">
        <v>1</v>
      </c>
      <c r="S137" s="83">
        <v>8000</v>
      </c>
      <c r="T137" s="83"/>
      <c r="U137" s="83"/>
      <c r="V137" s="83">
        <v>1</v>
      </c>
      <c r="W137" s="83">
        <v>40000</v>
      </c>
      <c r="X137" s="167"/>
      <c r="Y137" s="168"/>
      <c r="Z137" s="168"/>
      <c r="AA137" s="168"/>
      <c r="AB137" s="168"/>
      <c r="AC137" s="168"/>
      <c r="AD137" s="168"/>
      <c r="AE137" s="168"/>
    </row>
    <row r="138" spans="1:256" s="141" customFormat="1" ht="30" x14ac:dyDescent="0.25">
      <c r="A138" s="138">
        <v>12.8</v>
      </c>
      <c r="B138" s="165" t="s">
        <v>425</v>
      </c>
      <c r="C138" s="110">
        <v>8090010</v>
      </c>
      <c r="D138" s="80" t="s">
        <v>110</v>
      </c>
      <c r="E138" s="43"/>
      <c r="F138" s="114">
        <v>792</v>
      </c>
      <c r="G138" s="129" t="s">
        <v>103</v>
      </c>
      <c r="H138" s="129">
        <v>2</v>
      </c>
      <c r="I138" s="151">
        <v>98401</v>
      </c>
      <c r="J138" s="83" t="s">
        <v>429</v>
      </c>
      <c r="K138" s="24">
        <v>14000</v>
      </c>
      <c r="L138" s="24"/>
      <c r="M138" s="24"/>
      <c r="N138" s="24"/>
      <c r="O138" s="24"/>
      <c r="P138" s="83"/>
      <c r="Q138" s="83"/>
      <c r="R138" s="83">
        <v>1</v>
      </c>
      <c r="S138" s="83">
        <v>7000</v>
      </c>
      <c r="T138" s="83"/>
      <c r="U138" s="83"/>
      <c r="V138" s="83">
        <v>1</v>
      </c>
      <c r="W138" s="83">
        <v>7000</v>
      </c>
      <c r="X138" s="167"/>
      <c r="Y138" s="168"/>
      <c r="Z138" s="168"/>
      <c r="AA138" s="168"/>
      <c r="AB138" s="168"/>
      <c r="AC138" s="168"/>
      <c r="AD138" s="168"/>
      <c r="AE138" s="168"/>
    </row>
    <row r="139" spans="1:256" s="141" customFormat="1" ht="60" x14ac:dyDescent="0.25">
      <c r="A139" s="138">
        <v>12.9</v>
      </c>
      <c r="B139" s="165" t="s">
        <v>425</v>
      </c>
      <c r="C139" s="110">
        <v>8090010</v>
      </c>
      <c r="D139" s="80" t="s">
        <v>111</v>
      </c>
      <c r="E139" s="80"/>
      <c r="F139" s="114">
        <v>792</v>
      </c>
      <c r="G139" s="129" t="s">
        <v>103</v>
      </c>
      <c r="H139" s="129">
        <v>2</v>
      </c>
      <c r="I139" s="151">
        <v>98401</v>
      </c>
      <c r="J139" s="83" t="s">
        <v>429</v>
      </c>
      <c r="K139" s="24">
        <v>60000</v>
      </c>
      <c r="L139" s="24"/>
      <c r="M139" s="24"/>
      <c r="N139" s="24"/>
      <c r="O139" s="24"/>
      <c r="P139" s="83"/>
      <c r="Q139" s="83"/>
      <c r="R139" s="83"/>
      <c r="S139" s="83"/>
      <c r="T139" s="83"/>
      <c r="U139" s="83"/>
      <c r="V139" s="83">
        <v>2</v>
      </c>
      <c r="W139" s="83">
        <v>60000</v>
      </c>
      <c r="X139" s="167"/>
      <c r="Y139" s="168"/>
      <c r="Z139" s="168"/>
      <c r="AA139" s="168"/>
      <c r="AB139" s="168"/>
      <c r="AC139" s="168"/>
      <c r="AD139" s="168"/>
      <c r="AE139" s="168"/>
    </row>
    <row r="140" spans="1:256" s="141" customFormat="1" ht="45" x14ac:dyDescent="0.25">
      <c r="A140" s="138"/>
      <c r="B140" s="165" t="s">
        <v>425</v>
      </c>
      <c r="C140" s="110">
        <v>8090010</v>
      </c>
      <c r="D140" s="217" t="s">
        <v>466</v>
      </c>
      <c r="E140" s="114" t="s">
        <v>467</v>
      </c>
      <c r="F140" s="114">
        <v>792</v>
      </c>
      <c r="G140" s="129" t="s">
        <v>103</v>
      </c>
      <c r="H140" s="129">
        <v>2</v>
      </c>
      <c r="I140" s="151">
        <v>98401</v>
      </c>
      <c r="J140" s="83" t="s">
        <v>429</v>
      </c>
      <c r="K140" s="24">
        <v>53181</v>
      </c>
      <c r="L140" s="24"/>
      <c r="M140" s="24"/>
      <c r="N140" s="24"/>
      <c r="O140" s="24"/>
      <c r="P140" s="83"/>
      <c r="Q140" s="83"/>
      <c r="R140" s="83"/>
      <c r="S140" s="83"/>
      <c r="T140" s="83"/>
      <c r="U140" s="83"/>
      <c r="V140" s="83"/>
      <c r="W140" s="83"/>
      <c r="X140" s="167"/>
      <c r="Y140" s="168"/>
      <c r="Z140" s="168"/>
      <c r="AA140" s="168"/>
      <c r="AB140" s="168"/>
      <c r="AC140" s="168"/>
      <c r="AD140" s="168"/>
      <c r="AE140" s="168"/>
    </row>
    <row r="141" spans="1:256" s="141" customFormat="1" ht="45" x14ac:dyDescent="0.25">
      <c r="A141" s="138"/>
      <c r="B141" s="165" t="s">
        <v>425</v>
      </c>
      <c r="C141" s="110">
        <v>8090010</v>
      </c>
      <c r="D141" s="217" t="s">
        <v>468</v>
      </c>
      <c r="E141" s="114" t="s">
        <v>467</v>
      </c>
      <c r="F141" s="114">
        <v>792</v>
      </c>
      <c r="G141" s="129" t="s">
        <v>103</v>
      </c>
      <c r="H141" s="129">
        <v>2</v>
      </c>
      <c r="I141" s="151">
        <v>98401</v>
      </c>
      <c r="J141" s="83" t="s">
        <v>429</v>
      </c>
      <c r="K141" s="24">
        <v>87980</v>
      </c>
      <c r="L141" s="24"/>
      <c r="M141" s="24"/>
      <c r="N141" s="24"/>
      <c r="O141" s="24"/>
      <c r="P141" s="83"/>
      <c r="Q141" s="83"/>
      <c r="R141" s="83"/>
      <c r="S141" s="83"/>
      <c r="T141" s="83"/>
      <c r="U141" s="83"/>
      <c r="V141" s="83"/>
      <c r="W141" s="83"/>
      <c r="X141" s="167"/>
      <c r="Y141" s="168"/>
      <c r="Z141" s="168"/>
      <c r="AA141" s="168"/>
      <c r="AB141" s="168"/>
      <c r="AC141" s="168"/>
      <c r="AD141" s="168"/>
      <c r="AE141" s="168"/>
    </row>
    <row r="142" spans="1:256" s="141" customFormat="1" x14ac:dyDescent="0.25">
      <c r="A142" s="138">
        <v>12.1</v>
      </c>
      <c r="B142" s="165" t="s">
        <v>425</v>
      </c>
      <c r="C142" s="110">
        <v>8090010</v>
      </c>
      <c r="D142" s="217" t="s">
        <v>361</v>
      </c>
      <c r="E142" s="114" t="s">
        <v>469</v>
      </c>
      <c r="F142" s="114">
        <v>792</v>
      </c>
      <c r="G142" s="129" t="s">
        <v>103</v>
      </c>
      <c r="H142" s="129">
        <v>4</v>
      </c>
      <c r="I142" s="151">
        <v>98401</v>
      </c>
      <c r="J142" s="83" t="s">
        <v>429</v>
      </c>
      <c r="K142" s="24">
        <v>150000</v>
      </c>
      <c r="L142" s="24"/>
      <c r="M142" s="24"/>
      <c r="N142" s="24"/>
      <c r="O142" s="24"/>
      <c r="P142" s="83"/>
      <c r="Q142" s="83"/>
      <c r="R142" s="83"/>
      <c r="S142" s="83"/>
      <c r="T142" s="83"/>
      <c r="U142" s="83"/>
      <c r="V142" s="83">
        <v>4</v>
      </c>
      <c r="W142" s="83">
        <v>150000</v>
      </c>
      <c r="X142" s="167"/>
      <c r="Y142" s="168"/>
      <c r="Z142" s="168"/>
      <c r="AA142" s="168"/>
      <c r="AB142" s="168"/>
      <c r="AC142" s="168"/>
      <c r="AD142" s="168"/>
      <c r="AE142" s="168"/>
    </row>
    <row r="143" spans="1:256" s="141" customFormat="1" ht="30" x14ac:dyDescent="0.25">
      <c r="A143" s="138">
        <v>12.11</v>
      </c>
      <c r="B143" s="165" t="s">
        <v>425</v>
      </c>
      <c r="C143" s="110">
        <v>8090010</v>
      </c>
      <c r="D143" s="80" t="s">
        <v>362</v>
      </c>
      <c r="E143" s="80"/>
      <c r="F143" s="114">
        <v>792</v>
      </c>
      <c r="G143" s="129" t="s">
        <v>103</v>
      </c>
      <c r="H143" s="129">
        <v>10</v>
      </c>
      <c r="I143" s="151">
        <v>98401</v>
      </c>
      <c r="J143" s="83" t="s">
        <v>429</v>
      </c>
      <c r="K143" s="24">
        <v>400000</v>
      </c>
      <c r="L143" s="24"/>
      <c r="M143" s="24"/>
      <c r="N143" s="24"/>
      <c r="O143" s="24"/>
      <c r="P143" s="83"/>
      <c r="Q143" s="83"/>
      <c r="R143" s="83"/>
      <c r="S143" s="83"/>
      <c r="T143" s="83"/>
      <c r="U143" s="83"/>
      <c r="V143" s="83">
        <v>10</v>
      </c>
      <c r="W143" s="83">
        <v>400000</v>
      </c>
      <c r="X143" s="167"/>
      <c r="Y143" s="168"/>
      <c r="Z143" s="168"/>
      <c r="AA143" s="168"/>
      <c r="AB143" s="168"/>
      <c r="AC143" s="168"/>
      <c r="AD143" s="168"/>
      <c r="AE143" s="168"/>
    </row>
    <row r="144" spans="1:256" s="141" customFormat="1" x14ac:dyDescent="0.25">
      <c r="A144" s="138"/>
      <c r="B144" s="165"/>
      <c r="C144" s="110"/>
      <c r="E144" s="43"/>
      <c r="F144" s="11"/>
      <c r="G144" s="129"/>
      <c r="H144" s="129"/>
      <c r="I144" s="185"/>
      <c r="J144" s="24"/>
      <c r="K144" s="45">
        <v>2890649</v>
      </c>
      <c r="L144" s="45"/>
      <c r="M144" s="45"/>
      <c r="N144" s="45"/>
      <c r="O144" s="45"/>
      <c r="P144" s="45"/>
      <c r="Q144" s="45">
        <v>519500</v>
      </c>
      <c r="R144" s="45"/>
      <c r="S144" s="45">
        <v>15000</v>
      </c>
      <c r="T144" s="45"/>
      <c r="U144" s="45">
        <v>1459149</v>
      </c>
      <c r="V144" s="45"/>
      <c r="W144" s="45">
        <v>897000</v>
      </c>
      <c r="X144" s="167"/>
      <c r="Y144" s="171"/>
      <c r="Z144" s="168"/>
      <c r="AA144" s="168"/>
      <c r="AB144" s="168"/>
      <c r="AC144" s="168"/>
      <c r="AD144" s="168"/>
      <c r="AE144" s="168"/>
    </row>
    <row r="145" spans="1:256" s="164" customFormat="1" ht="14.25" x14ac:dyDescent="0.2">
      <c r="A145" s="140"/>
      <c r="B145" s="156"/>
      <c r="C145" s="157"/>
      <c r="D145" s="158" t="s">
        <v>112</v>
      </c>
      <c r="E145" s="158"/>
      <c r="F145" s="159"/>
      <c r="G145" s="160"/>
      <c r="H145" s="160"/>
      <c r="I145" s="161"/>
      <c r="J145" s="162"/>
      <c r="K145" s="162"/>
      <c r="L145" s="162"/>
      <c r="M145" s="162"/>
      <c r="N145" s="162"/>
      <c r="O145" s="162"/>
      <c r="P145" s="162"/>
      <c r="Q145" s="162"/>
      <c r="R145" s="162"/>
      <c r="S145" s="162"/>
      <c r="T145" s="162"/>
      <c r="U145" s="162"/>
      <c r="V145" s="162"/>
      <c r="W145" s="162"/>
      <c r="X145" s="163"/>
      <c r="Y145" s="140"/>
      <c r="Z145" s="156"/>
      <c r="AA145" s="157"/>
      <c r="AB145" s="158"/>
      <c r="AC145" s="158"/>
      <c r="AD145" s="159"/>
      <c r="AE145" s="160"/>
      <c r="AF145" s="160"/>
      <c r="AG145" s="162"/>
      <c r="AH145" s="162"/>
      <c r="AI145" s="162"/>
      <c r="AJ145" s="162"/>
      <c r="AK145" s="162"/>
      <c r="AL145" s="162"/>
      <c r="AM145" s="162"/>
      <c r="AN145" s="162"/>
      <c r="AO145" s="162"/>
      <c r="AP145" s="162"/>
      <c r="AQ145" s="162"/>
      <c r="AR145" s="162"/>
      <c r="AS145" s="162"/>
      <c r="AT145" s="162"/>
      <c r="AU145" s="162"/>
      <c r="AV145" s="163"/>
      <c r="AW145" s="140"/>
      <c r="AX145" s="156"/>
      <c r="AY145" s="157"/>
      <c r="AZ145" s="158"/>
      <c r="BA145" s="158"/>
      <c r="BB145" s="159"/>
      <c r="BC145" s="160"/>
      <c r="BD145" s="160"/>
      <c r="BE145" s="162"/>
      <c r="BF145" s="162"/>
      <c r="BG145" s="162"/>
      <c r="BH145" s="162"/>
      <c r="BI145" s="162"/>
      <c r="BJ145" s="162"/>
      <c r="BK145" s="162"/>
      <c r="BL145" s="162"/>
      <c r="BM145" s="162"/>
      <c r="BN145" s="162"/>
      <c r="BO145" s="162"/>
      <c r="BP145" s="162"/>
      <c r="BQ145" s="162"/>
      <c r="BR145" s="162"/>
      <c r="BS145" s="162"/>
      <c r="BT145" s="163"/>
      <c r="BU145" s="140"/>
      <c r="BV145" s="156"/>
      <c r="BW145" s="157"/>
      <c r="BX145" s="158"/>
      <c r="BY145" s="158"/>
      <c r="BZ145" s="159"/>
      <c r="CA145" s="160"/>
      <c r="CB145" s="160"/>
      <c r="CC145" s="162"/>
      <c r="CD145" s="162"/>
      <c r="CE145" s="162"/>
      <c r="CF145" s="162"/>
      <c r="CG145" s="162"/>
      <c r="CH145" s="162"/>
      <c r="CI145" s="162"/>
      <c r="CJ145" s="162"/>
      <c r="CK145" s="162"/>
      <c r="CL145" s="162"/>
      <c r="CM145" s="162"/>
      <c r="CN145" s="162"/>
      <c r="CO145" s="162"/>
      <c r="CP145" s="162"/>
      <c r="CQ145" s="162"/>
      <c r="CR145" s="163"/>
      <c r="CS145" s="140"/>
      <c r="CT145" s="156"/>
      <c r="CU145" s="157"/>
      <c r="CV145" s="158"/>
      <c r="CW145" s="158"/>
      <c r="CX145" s="159"/>
      <c r="CY145" s="160"/>
      <c r="CZ145" s="160"/>
      <c r="DA145" s="162"/>
      <c r="DB145" s="162"/>
      <c r="DC145" s="162"/>
      <c r="DD145" s="162"/>
      <c r="DE145" s="162"/>
      <c r="DF145" s="162"/>
      <c r="DG145" s="162"/>
      <c r="DH145" s="162"/>
      <c r="DI145" s="162"/>
      <c r="DJ145" s="162"/>
      <c r="DK145" s="162"/>
      <c r="DL145" s="162"/>
      <c r="DM145" s="162"/>
      <c r="DN145" s="162"/>
      <c r="DO145" s="162"/>
      <c r="DP145" s="163"/>
      <c r="DQ145" s="140"/>
      <c r="DR145" s="156"/>
      <c r="DS145" s="157"/>
      <c r="DT145" s="158"/>
      <c r="DU145" s="158"/>
      <c r="DV145" s="159"/>
      <c r="DW145" s="160"/>
      <c r="DX145" s="160"/>
      <c r="DY145" s="162"/>
      <c r="DZ145" s="162"/>
      <c r="EA145" s="162"/>
      <c r="EB145" s="162"/>
      <c r="EC145" s="162"/>
      <c r="ED145" s="162"/>
      <c r="EE145" s="162"/>
      <c r="EF145" s="162"/>
      <c r="EG145" s="162"/>
      <c r="EH145" s="162"/>
      <c r="EI145" s="162"/>
      <c r="EJ145" s="162"/>
      <c r="EK145" s="162"/>
      <c r="EL145" s="162"/>
      <c r="EM145" s="162"/>
      <c r="EN145" s="163"/>
      <c r="EO145" s="140"/>
      <c r="EP145" s="156"/>
      <c r="EQ145" s="157"/>
      <c r="ER145" s="158"/>
      <c r="ES145" s="158"/>
      <c r="ET145" s="159"/>
      <c r="EU145" s="160"/>
      <c r="EV145" s="160"/>
      <c r="EW145" s="162"/>
      <c r="EX145" s="162"/>
      <c r="EY145" s="162"/>
      <c r="EZ145" s="162"/>
      <c r="FA145" s="162"/>
      <c r="FB145" s="162"/>
      <c r="FC145" s="162"/>
      <c r="FD145" s="162"/>
      <c r="FE145" s="162"/>
      <c r="FF145" s="162"/>
      <c r="FG145" s="162"/>
      <c r="FH145" s="162"/>
      <c r="FI145" s="162"/>
      <c r="FJ145" s="162"/>
      <c r="FK145" s="162"/>
      <c r="FL145" s="163"/>
      <c r="FM145" s="140"/>
      <c r="FN145" s="156"/>
      <c r="FO145" s="157"/>
      <c r="FP145" s="158"/>
      <c r="FQ145" s="158"/>
      <c r="FR145" s="159"/>
      <c r="FS145" s="160"/>
      <c r="FT145" s="160"/>
      <c r="FU145" s="162"/>
      <c r="FV145" s="162"/>
      <c r="FW145" s="162"/>
      <c r="FX145" s="162"/>
      <c r="FY145" s="162"/>
      <c r="FZ145" s="162"/>
      <c r="GA145" s="162"/>
      <c r="GB145" s="162"/>
      <c r="GC145" s="162"/>
      <c r="GD145" s="162"/>
      <c r="GE145" s="162"/>
      <c r="GF145" s="162"/>
      <c r="GG145" s="162"/>
      <c r="GH145" s="162"/>
      <c r="GI145" s="162"/>
      <c r="GJ145" s="163"/>
      <c r="GK145" s="140"/>
      <c r="GL145" s="156"/>
      <c r="GM145" s="157"/>
      <c r="GN145" s="158"/>
      <c r="GO145" s="158"/>
      <c r="GP145" s="159"/>
      <c r="GQ145" s="160"/>
      <c r="GR145" s="160"/>
      <c r="GS145" s="162"/>
      <c r="GT145" s="162"/>
      <c r="GU145" s="162"/>
      <c r="GV145" s="162"/>
      <c r="GW145" s="162"/>
      <c r="GX145" s="162"/>
      <c r="GY145" s="162"/>
      <c r="GZ145" s="162"/>
      <c r="HA145" s="162"/>
      <c r="HB145" s="162"/>
      <c r="HC145" s="162"/>
      <c r="HD145" s="162"/>
      <c r="HE145" s="162"/>
      <c r="HF145" s="162"/>
      <c r="HG145" s="162"/>
      <c r="HH145" s="163"/>
      <c r="HI145" s="140"/>
      <c r="HJ145" s="156"/>
      <c r="HK145" s="157"/>
      <c r="HL145" s="158"/>
      <c r="HM145" s="158"/>
      <c r="HN145" s="159"/>
      <c r="HO145" s="160"/>
      <c r="HP145" s="160"/>
      <c r="HQ145" s="162"/>
      <c r="HR145" s="162"/>
      <c r="HS145" s="162"/>
      <c r="HT145" s="162"/>
      <c r="HU145" s="162"/>
      <c r="HV145" s="162"/>
      <c r="HW145" s="162"/>
      <c r="HX145" s="162"/>
      <c r="HY145" s="162"/>
      <c r="HZ145" s="162"/>
      <c r="IA145" s="162"/>
      <c r="IB145" s="162"/>
      <c r="IC145" s="162"/>
      <c r="ID145" s="162"/>
      <c r="IE145" s="162"/>
      <c r="IF145" s="163"/>
      <c r="IG145" s="140"/>
      <c r="IH145" s="156"/>
      <c r="II145" s="157"/>
      <c r="IJ145" s="158"/>
      <c r="IK145" s="158"/>
      <c r="IL145" s="159"/>
      <c r="IM145" s="160"/>
      <c r="IN145" s="160"/>
      <c r="IO145" s="162"/>
      <c r="IP145" s="162"/>
      <c r="IQ145" s="162"/>
      <c r="IR145" s="162"/>
      <c r="IS145" s="162"/>
      <c r="IT145" s="162"/>
      <c r="IU145" s="162"/>
      <c r="IV145" s="162"/>
    </row>
    <row r="146" spans="1:256" s="164" customFormat="1" ht="14.25" x14ac:dyDescent="0.2">
      <c r="A146" s="140">
        <v>15</v>
      </c>
      <c r="B146" s="156"/>
      <c r="C146" s="157"/>
      <c r="D146" s="158" t="s">
        <v>113</v>
      </c>
      <c r="E146" s="158"/>
      <c r="F146" s="159"/>
      <c r="G146" s="160"/>
      <c r="H146" s="160"/>
      <c r="I146" s="161"/>
      <c r="J146" s="162"/>
      <c r="K146" s="162"/>
      <c r="L146" s="162"/>
      <c r="M146" s="162"/>
      <c r="N146" s="162"/>
      <c r="O146" s="162"/>
      <c r="P146" s="162"/>
      <c r="Q146" s="162"/>
      <c r="R146" s="162"/>
      <c r="S146" s="162"/>
      <c r="T146" s="162"/>
      <c r="U146" s="162"/>
      <c r="V146" s="162"/>
      <c r="W146" s="162"/>
      <c r="X146" s="163"/>
      <c r="Y146" s="140"/>
      <c r="Z146" s="156"/>
      <c r="AA146" s="157"/>
      <c r="AB146" s="158"/>
      <c r="AC146" s="158"/>
      <c r="AD146" s="159"/>
      <c r="AE146" s="160"/>
      <c r="AF146" s="160"/>
      <c r="AG146" s="162"/>
      <c r="AH146" s="162"/>
      <c r="AI146" s="162"/>
      <c r="AJ146" s="162"/>
      <c r="AK146" s="162"/>
      <c r="AL146" s="162"/>
      <c r="AM146" s="162"/>
      <c r="AN146" s="162"/>
      <c r="AO146" s="162"/>
      <c r="AP146" s="162"/>
      <c r="AQ146" s="162"/>
      <c r="AR146" s="162"/>
      <c r="AS146" s="162"/>
      <c r="AT146" s="162"/>
      <c r="AU146" s="162"/>
      <c r="AV146" s="163"/>
      <c r="AW146" s="140"/>
      <c r="AX146" s="156"/>
      <c r="AY146" s="157"/>
      <c r="AZ146" s="158"/>
      <c r="BA146" s="158"/>
      <c r="BB146" s="159"/>
      <c r="BC146" s="160"/>
      <c r="BD146" s="160"/>
      <c r="BE146" s="162"/>
      <c r="BF146" s="162"/>
      <c r="BG146" s="162"/>
      <c r="BH146" s="162"/>
      <c r="BI146" s="162"/>
      <c r="BJ146" s="162"/>
      <c r="BK146" s="162"/>
      <c r="BL146" s="162"/>
      <c r="BM146" s="162"/>
      <c r="BN146" s="162"/>
      <c r="BO146" s="162"/>
      <c r="BP146" s="162"/>
      <c r="BQ146" s="162"/>
      <c r="BR146" s="162"/>
      <c r="BS146" s="162"/>
      <c r="BT146" s="163"/>
      <c r="BU146" s="140"/>
      <c r="BV146" s="156"/>
      <c r="BW146" s="157"/>
      <c r="BX146" s="158"/>
      <c r="BY146" s="158"/>
      <c r="BZ146" s="159"/>
      <c r="CA146" s="160"/>
      <c r="CB146" s="160"/>
      <c r="CC146" s="162"/>
      <c r="CD146" s="162"/>
      <c r="CE146" s="162"/>
      <c r="CF146" s="162"/>
      <c r="CG146" s="162"/>
      <c r="CH146" s="162"/>
      <c r="CI146" s="162"/>
      <c r="CJ146" s="162"/>
      <c r="CK146" s="162"/>
      <c r="CL146" s="162"/>
      <c r="CM146" s="162"/>
      <c r="CN146" s="162"/>
      <c r="CO146" s="162"/>
      <c r="CP146" s="162"/>
      <c r="CQ146" s="162"/>
      <c r="CR146" s="163"/>
      <c r="CS146" s="140"/>
      <c r="CT146" s="156"/>
      <c r="CU146" s="157"/>
      <c r="CV146" s="158"/>
      <c r="CW146" s="158"/>
      <c r="CX146" s="159"/>
      <c r="CY146" s="160"/>
      <c r="CZ146" s="160"/>
      <c r="DA146" s="162"/>
      <c r="DB146" s="162"/>
      <c r="DC146" s="162"/>
      <c r="DD146" s="162"/>
      <c r="DE146" s="162"/>
      <c r="DF146" s="162"/>
      <c r="DG146" s="162"/>
      <c r="DH146" s="162"/>
      <c r="DI146" s="162"/>
      <c r="DJ146" s="162"/>
      <c r="DK146" s="162"/>
      <c r="DL146" s="162"/>
      <c r="DM146" s="162"/>
      <c r="DN146" s="162"/>
      <c r="DO146" s="162"/>
      <c r="DP146" s="163"/>
      <c r="DQ146" s="140"/>
      <c r="DR146" s="156"/>
      <c r="DS146" s="157"/>
      <c r="DT146" s="158"/>
      <c r="DU146" s="158"/>
      <c r="DV146" s="159"/>
      <c r="DW146" s="160"/>
      <c r="DX146" s="160"/>
      <c r="DY146" s="162"/>
      <c r="DZ146" s="162"/>
      <c r="EA146" s="162"/>
      <c r="EB146" s="162"/>
      <c r="EC146" s="162"/>
      <c r="ED146" s="162"/>
      <c r="EE146" s="162"/>
      <c r="EF146" s="162"/>
      <c r="EG146" s="162"/>
      <c r="EH146" s="162"/>
      <c r="EI146" s="162"/>
      <c r="EJ146" s="162"/>
      <c r="EK146" s="162"/>
      <c r="EL146" s="162"/>
      <c r="EM146" s="162"/>
      <c r="EN146" s="163"/>
      <c r="EO146" s="140"/>
      <c r="EP146" s="156"/>
      <c r="EQ146" s="157"/>
      <c r="ER146" s="158"/>
      <c r="ES146" s="158"/>
      <c r="ET146" s="159"/>
      <c r="EU146" s="160"/>
      <c r="EV146" s="160"/>
      <c r="EW146" s="162"/>
      <c r="EX146" s="162"/>
      <c r="EY146" s="162"/>
      <c r="EZ146" s="162"/>
      <c r="FA146" s="162"/>
      <c r="FB146" s="162"/>
      <c r="FC146" s="162"/>
      <c r="FD146" s="162"/>
      <c r="FE146" s="162"/>
      <c r="FF146" s="162"/>
      <c r="FG146" s="162"/>
      <c r="FH146" s="162"/>
      <c r="FI146" s="162"/>
      <c r="FJ146" s="162"/>
      <c r="FK146" s="162"/>
      <c r="FL146" s="163"/>
      <c r="FM146" s="140"/>
      <c r="FN146" s="156"/>
      <c r="FO146" s="157"/>
      <c r="FP146" s="158"/>
      <c r="FQ146" s="158"/>
      <c r="FR146" s="159"/>
      <c r="FS146" s="160"/>
      <c r="FT146" s="160"/>
      <c r="FU146" s="162"/>
      <c r="FV146" s="162"/>
      <c r="FW146" s="162"/>
      <c r="FX146" s="162"/>
      <c r="FY146" s="162"/>
      <c r="FZ146" s="162"/>
      <c r="GA146" s="162"/>
      <c r="GB146" s="162"/>
      <c r="GC146" s="162"/>
      <c r="GD146" s="162"/>
      <c r="GE146" s="162"/>
      <c r="GF146" s="162"/>
      <c r="GG146" s="162"/>
      <c r="GH146" s="162"/>
      <c r="GI146" s="162"/>
      <c r="GJ146" s="163"/>
      <c r="GK146" s="140"/>
      <c r="GL146" s="156"/>
      <c r="GM146" s="157"/>
      <c r="GN146" s="158"/>
      <c r="GO146" s="158"/>
      <c r="GP146" s="159"/>
      <c r="GQ146" s="160"/>
      <c r="GR146" s="160"/>
      <c r="GS146" s="162"/>
      <c r="GT146" s="162"/>
      <c r="GU146" s="162"/>
      <c r="GV146" s="162"/>
      <c r="GW146" s="162"/>
      <c r="GX146" s="162"/>
      <c r="GY146" s="162"/>
      <c r="GZ146" s="162"/>
      <c r="HA146" s="162"/>
      <c r="HB146" s="162"/>
      <c r="HC146" s="162"/>
      <c r="HD146" s="162"/>
      <c r="HE146" s="162"/>
      <c r="HF146" s="162"/>
      <c r="HG146" s="162"/>
      <c r="HH146" s="163"/>
      <c r="HI146" s="140"/>
      <c r="HJ146" s="156"/>
      <c r="HK146" s="157"/>
      <c r="HL146" s="158"/>
      <c r="HM146" s="158"/>
      <c r="HN146" s="159"/>
      <c r="HO146" s="160"/>
      <c r="HP146" s="160"/>
      <c r="HQ146" s="162"/>
      <c r="HR146" s="162"/>
      <c r="HS146" s="162"/>
      <c r="HT146" s="162"/>
      <c r="HU146" s="162"/>
      <c r="HV146" s="162"/>
      <c r="HW146" s="162"/>
      <c r="HX146" s="162"/>
      <c r="HY146" s="162"/>
      <c r="HZ146" s="162"/>
      <c r="IA146" s="162"/>
      <c r="IB146" s="162"/>
      <c r="IC146" s="162"/>
      <c r="ID146" s="162"/>
      <c r="IE146" s="162"/>
      <c r="IF146" s="163"/>
      <c r="IG146" s="140"/>
      <c r="IH146" s="156"/>
      <c r="II146" s="157"/>
      <c r="IJ146" s="158"/>
      <c r="IK146" s="158"/>
      <c r="IL146" s="159"/>
      <c r="IM146" s="160"/>
      <c r="IN146" s="160"/>
      <c r="IO146" s="162"/>
      <c r="IP146" s="162"/>
      <c r="IQ146" s="162"/>
      <c r="IR146" s="162"/>
      <c r="IS146" s="162"/>
      <c r="IT146" s="162"/>
      <c r="IU146" s="162"/>
      <c r="IV146" s="162"/>
    </row>
    <row r="147" spans="1:256" s="141" customFormat="1" ht="15" customHeight="1" x14ac:dyDescent="0.25">
      <c r="A147" s="138">
        <v>15.1</v>
      </c>
      <c r="B147" s="165" t="s">
        <v>408</v>
      </c>
      <c r="C147" s="110">
        <v>4110000</v>
      </c>
      <c r="D147" s="43" t="s">
        <v>114</v>
      </c>
      <c r="E147" s="43"/>
      <c r="F147" s="11">
        <v>362</v>
      </c>
      <c r="G147" s="81" t="s">
        <v>22</v>
      </c>
      <c r="H147" s="129">
        <v>12</v>
      </c>
      <c r="I147" s="151">
        <v>98231552</v>
      </c>
      <c r="J147" s="174" t="s">
        <v>432</v>
      </c>
      <c r="K147" s="55">
        <v>1137.8898305084747</v>
      </c>
      <c r="L147" s="55"/>
      <c r="M147" s="55"/>
      <c r="N147" s="80" t="s">
        <v>448</v>
      </c>
      <c r="O147" s="43"/>
      <c r="P147" s="83">
        <v>12</v>
      </c>
      <c r="Q147" s="83">
        <v>1138</v>
      </c>
      <c r="R147" s="83"/>
      <c r="S147" s="83"/>
      <c r="T147" s="83"/>
      <c r="U147" s="83"/>
      <c r="V147" s="83"/>
      <c r="W147" s="83"/>
      <c r="X147" s="167"/>
      <c r="Y147" s="168"/>
      <c r="Z147" s="168"/>
      <c r="AA147" s="168"/>
      <c r="AB147" s="168"/>
      <c r="AC147" s="168"/>
      <c r="AD147" s="168"/>
      <c r="AE147" s="168"/>
    </row>
    <row r="148" spans="1:256" s="141" customFormat="1" ht="30" x14ac:dyDescent="0.25">
      <c r="A148" s="138">
        <v>15.2</v>
      </c>
      <c r="B148" s="165" t="s">
        <v>408</v>
      </c>
      <c r="C148" s="110">
        <v>4110000</v>
      </c>
      <c r="D148" s="195" t="s">
        <v>115</v>
      </c>
      <c r="E148" s="195"/>
      <c r="F148" s="11">
        <v>362</v>
      </c>
      <c r="G148" s="81" t="s">
        <v>22</v>
      </c>
      <c r="H148" s="129">
        <v>12</v>
      </c>
      <c r="I148" s="151">
        <v>98201551</v>
      </c>
      <c r="J148" s="174" t="s">
        <v>433</v>
      </c>
      <c r="K148" s="55">
        <v>1703.2104017125625</v>
      </c>
      <c r="L148" s="55"/>
      <c r="M148" s="55"/>
      <c r="N148" s="80" t="s">
        <v>448</v>
      </c>
      <c r="O148" s="55"/>
      <c r="P148" s="24">
        <v>12</v>
      </c>
      <c r="Q148" s="55">
        <v>1703</v>
      </c>
      <c r="R148" s="83"/>
      <c r="S148" s="83"/>
      <c r="T148" s="83"/>
      <c r="U148" s="83"/>
      <c r="V148" s="83"/>
      <c r="W148" s="83"/>
      <c r="X148" s="167"/>
      <c r="Y148" s="168"/>
      <c r="Z148" s="168"/>
      <c r="AA148" s="168"/>
      <c r="AB148" s="168"/>
      <c r="AC148" s="168"/>
      <c r="AD148" s="168"/>
      <c r="AE148" s="168"/>
    </row>
    <row r="149" spans="1:256" s="141" customFormat="1" ht="30" x14ac:dyDescent="0.25">
      <c r="A149" s="138">
        <v>15.3</v>
      </c>
      <c r="B149" s="165" t="s">
        <v>408</v>
      </c>
      <c r="C149" s="110">
        <v>4110000</v>
      </c>
      <c r="D149" s="195" t="s">
        <v>116</v>
      </c>
      <c r="E149" s="195"/>
      <c r="F149" s="11">
        <v>362</v>
      </c>
      <c r="G149" s="81" t="s">
        <v>22</v>
      </c>
      <c r="H149" s="129">
        <v>12</v>
      </c>
      <c r="I149" s="151">
        <v>98401554</v>
      </c>
      <c r="J149" s="174" t="s">
        <v>437</v>
      </c>
      <c r="K149" s="55">
        <v>650.2270992382546</v>
      </c>
      <c r="L149" s="55"/>
      <c r="M149" s="55"/>
      <c r="N149" s="80" t="s">
        <v>448</v>
      </c>
      <c r="O149" s="55"/>
      <c r="P149" s="83">
        <v>12</v>
      </c>
      <c r="Q149" s="83">
        <v>650</v>
      </c>
      <c r="R149" s="83"/>
      <c r="S149" s="83"/>
      <c r="T149" s="83"/>
      <c r="U149" s="83"/>
      <c r="V149" s="83"/>
      <c r="W149" s="83"/>
      <c r="X149" s="167"/>
      <c r="Y149" s="168"/>
      <c r="Z149" s="168"/>
      <c r="AA149" s="168"/>
      <c r="AB149" s="168"/>
      <c r="AC149" s="168"/>
      <c r="AD149" s="168"/>
      <c r="AE149" s="168"/>
    </row>
    <row r="150" spans="1:256" s="141" customFormat="1" ht="30" x14ac:dyDescent="0.25">
      <c r="A150" s="138">
        <v>15.4</v>
      </c>
      <c r="B150" s="165" t="s">
        <v>408</v>
      </c>
      <c r="C150" s="110">
        <v>4110000</v>
      </c>
      <c r="D150" s="195" t="s">
        <v>117</v>
      </c>
      <c r="E150" s="195"/>
      <c r="F150" s="11">
        <v>362</v>
      </c>
      <c r="G150" s="81" t="s">
        <v>22</v>
      </c>
      <c r="H150" s="129">
        <v>12</v>
      </c>
      <c r="I150" s="151">
        <v>98222</v>
      </c>
      <c r="J150" s="174" t="s">
        <v>438</v>
      </c>
      <c r="K150" s="55">
        <v>376.3</v>
      </c>
      <c r="L150" s="55"/>
      <c r="M150" s="55"/>
      <c r="N150" s="80" t="s">
        <v>448</v>
      </c>
      <c r="O150" s="55"/>
      <c r="P150" s="83">
        <v>12</v>
      </c>
      <c r="Q150" s="83">
        <v>376</v>
      </c>
      <c r="R150" s="83"/>
      <c r="S150" s="83"/>
      <c r="T150" s="83"/>
      <c r="U150" s="83"/>
      <c r="V150" s="83"/>
      <c r="W150" s="83"/>
      <c r="X150" s="167"/>
      <c r="Y150" s="168"/>
      <c r="Z150" s="168"/>
      <c r="AA150" s="168"/>
      <c r="AB150" s="168"/>
      <c r="AC150" s="168"/>
      <c r="AD150" s="168"/>
      <c r="AE150" s="168"/>
    </row>
    <row r="151" spans="1:256" s="141" customFormat="1" ht="30" x14ac:dyDescent="0.25">
      <c r="A151" s="138">
        <v>15.5</v>
      </c>
      <c r="B151" s="165" t="s">
        <v>408</v>
      </c>
      <c r="C151" s="110"/>
      <c r="D151" s="195" t="s">
        <v>118</v>
      </c>
      <c r="E151" s="195"/>
      <c r="F151" s="11">
        <v>362</v>
      </c>
      <c r="G151" s="81" t="s">
        <v>22</v>
      </c>
      <c r="H151" s="129">
        <v>12</v>
      </c>
      <c r="I151" s="151">
        <v>98224551</v>
      </c>
      <c r="J151" s="174" t="s">
        <v>436</v>
      </c>
      <c r="K151" s="55">
        <v>3183.08</v>
      </c>
      <c r="L151" s="55"/>
      <c r="M151" s="55"/>
      <c r="N151" s="80" t="s">
        <v>448</v>
      </c>
      <c r="O151" s="55"/>
      <c r="P151" s="83">
        <v>12</v>
      </c>
      <c r="Q151" s="83">
        <v>3178</v>
      </c>
      <c r="R151" s="83"/>
      <c r="S151" s="83"/>
      <c r="T151" s="83"/>
      <c r="U151" s="83"/>
      <c r="V151" s="83"/>
      <c r="W151" s="83"/>
      <c r="X151" s="167"/>
      <c r="Y151" s="168"/>
      <c r="Z151" s="168"/>
      <c r="AA151" s="168"/>
      <c r="AB151" s="168"/>
      <c r="AC151" s="168"/>
      <c r="AD151" s="168"/>
      <c r="AE151" s="168"/>
    </row>
    <row r="152" spans="1:256" s="141" customFormat="1" ht="30" x14ac:dyDescent="0.25">
      <c r="A152" s="138">
        <v>15.6</v>
      </c>
      <c r="B152" s="165" t="s">
        <v>408</v>
      </c>
      <c r="C152" s="110">
        <v>4110000</v>
      </c>
      <c r="D152" s="195" t="s">
        <v>119</v>
      </c>
      <c r="E152" s="195"/>
      <c r="F152" s="11">
        <v>362</v>
      </c>
      <c r="G152" s="81" t="s">
        <v>22</v>
      </c>
      <c r="H152" s="129">
        <v>12</v>
      </c>
      <c r="I152" s="151">
        <v>98227501</v>
      </c>
      <c r="J152" s="174" t="s">
        <v>430</v>
      </c>
      <c r="K152" s="55">
        <v>17622.243388000003</v>
      </c>
      <c r="L152" s="55"/>
      <c r="M152" s="55"/>
      <c r="N152" s="80" t="s">
        <v>448</v>
      </c>
      <c r="O152" s="55"/>
      <c r="P152" s="83">
        <v>12</v>
      </c>
      <c r="Q152" s="83">
        <v>17622</v>
      </c>
      <c r="R152" s="83"/>
      <c r="S152" s="83"/>
      <c r="T152" s="83"/>
      <c r="U152" s="83"/>
      <c r="V152" s="83"/>
      <c r="W152" s="83"/>
      <c r="X152" s="167"/>
      <c r="Y152" s="168"/>
      <c r="Z152" s="168"/>
      <c r="AA152" s="168"/>
      <c r="AB152" s="168"/>
      <c r="AC152" s="168"/>
      <c r="AD152" s="168"/>
      <c r="AE152" s="168"/>
    </row>
    <row r="153" spans="1:256" s="141" customFormat="1" ht="30" x14ac:dyDescent="0.25">
      <c r="A153" s="138">
        <v>15.7</v>
      </c>
      <c r="B153" s="165" t="s">
        <v>408</v>
      </c>
      <c r="C153" s="110">
        <v>4110000</v>
      </c>
      <c r="D153" s="195" t="s">
        <v>120</v>
      </c>
      <c r="E153" s="195"/>
      <c r="F153" s="11">
        <v>362</v>
      </c>
      <c r="G153" s="81" t="s">
        <v>22</v>
      </c>
      <c r="H153" s="129">
        <v>12</v>
      </c>
      <c r="I153" s="151">
        <v>98229</v>
      </c>
      <c r="J153" s="174" t="s">
        <v>439</v>
      </c>
      <c r="K153" s="55">
        <v>2178.1776</v>
      </c>
      <c r="L153" s="55"/>
      <c r="M153" s="55"/>
      <c r="N153" s="80" t="s">
        <v>448</v>
      </c>
      <c r="O153" s="55"/>
      <c r="P153" s="83">
        <v>12</v>
      </c>
      <c r="Q153" s="83">
        <v>2178</v>
      </c>
      <c r="R153" s="83"/>
      <c r="S153" s="83"/>
      <c r="T153" s="83"/>
      <c r="U153" s="83"/>
      <c r="V153" s="83"/>
      <c r="W153" s="83"/>
      <c r="X153" s="167"/>
      <c r="Y153" s="168"/>
      <c r="Z153" s="168"/>
      <c r="AA153" s="168"/>
      <c r="AB153" s="168"/>
      <c r="AC153" s="168"/>
      <c r="AD153" s="168"/>
      <c r="AE153" s="168"/>
    </row>
    <row r="154" spans="1:256" s="141" customFormat="1" ht="30" x14ac:dyDescent="0.25">
      <c r="A154" s="138">
        <v>15.8</v>
      </c>
      <c r="B154" s="165" t="s">
        <v>408</v>
      </c>
      <c r="C154" s="110">
        <v>4110000</v>
      </c>
      <c r="D154" s="195" t="s">
        <v>121</v>
      </c>
      <c r="E154" s="195"/>
      <c r="F154" s="11">
        <v>362</v>
      </c>
      <c r="G154" s="81" t="s">
        <v>22</v>
      </c>
      <c r="H154" s="129">
        <v>12</v>
      </c>
      <c r="I154" s="151">
        <v>98404</v>
      </c>
      <c r="J154" s="174" t="s">
        <v>440</v>
      </c>
      <c r="K154" s="55">
        <v>3446</v>
      </c>
      <c r="L154" s="55"/>
      <c r="M154" s="55"/>
      <c r="N154" s="80" t="s">
        <v>448</v>
      </c>
      <c r="O154" s="55"/>
      <c r="P154" s="83">
        <v>12</v>
      </c>
      <c r="Q154" s="83">
        <v>3446</v>
      </c>
      <c r="R154" s="83"/>
      <c r="S154" s="83"/>
      <c r="T154" s="83"/>
      <c r="U154" s="83"/>
      <c r="V154" s="83"/>
      <c r="W154" s="83"/>
      <c r="X154" s="167"/>
      <c r="Y154" s="168"/>
      <c r="Z154" s="168"/>
      <c r="AA154" s="168"/>
      <c r="AB154" s="168"/>
      <c r="AC154" s="168"/>
      <c r="AD154" s="168"/>
      <c r="AE154" s="168"/>
    </row>
    <row r="155" spans="1:256" s="141" customFormat="1" ht="30" x14ac:dyDescent="0.25">
      <c r="A155" s="138">
        <v>15.9</v>
      </c>
      <c r="B155" s="165" t="s">
        <v>408</v>
      </c>
      <c r="C155" s="110">
        <v>4110000</v>
      </c>
      <c r="D155" s="195" t="s">
        <v>122</v>
      </c>
      <c r="E155" s="195"/>
      <c r="F155" s="11">
        <v>362</v>
      </c>
      <c r="G155" s="81" t="s">
        <v>22</v>
      </c>
      <c r="H155" s="129">
        <v>12</v>
      </c>
      <c r="I155" s="151">
        <v>98406</v>
      </c>
      <c r="J155" s="174" t="s">
        <v>441</v>
      </c>
      <c r="K155" s="55">
        <v>7205.0895</v>
      </c>
      <c r="L155" s="55"/>
      <c r="M155" s="55"/>
      <c r="N155" s="80" t="s">
        <v>448</v>
      </c>
      <c r="O155" s="55"/>
      <c r="P155" s="83">
        <v>12</v>
      </c>
      <c r="Q155" s="83">
        <v>7205</v>
      </c>
      <c r="R155" s="83"/>
      <c r="S155" s="83"/>
      <c r="T155" s="83"/>
      <c r="U155" s="83"/>
      <c r="V155" s="83"/>
      <c r="W155" s="83"/>
      <c r="X155" s="167"/>
      <c r="Y155" s="168"/>
      <c r="Z155" s="168"/>
      <c r="AA155" s="168"/>
      <c r="AB155" s="168"/>
      <c r="AC155" s="168"/>
      <c r="AD155" s="168"/>
      <c r="AE155" s="168"/>
    </row>
    <row r="156" spans="1:256" s="141" customFormat="1" ht="30" x14ac:dyDescent="0.25">
      <c r="A156" s="138">
        <v>15.1</v>
      </c>
      <c r="B156" s="165" t="s">
        <v>408</v>
      </c>
      <c r="C156" s="110">
        <v>4110000</v>
      </c>
      <c r="D156" s="195" t="s">
        <v>123</v>
      </c>
      <c r="E156" s="195"/>
      <c r="F156" s="11">
        <v>362</v>
      </c>
      <c r="G156" s="81" t="s">
        <v>22</v>
      </c>
      <c r="H156" s="129">
        <v>12</v>
      </c>
      <c r="I156" s="151">
        <v>98237551</v>
      </c>
      <c r="J156" s="174" t="s">
        <v>445</v>
      </c>
      <c r="K156" s="55">
        <v>691.05084745762724</v>
      </c>
      <c r="L156" s="55"/>
      <c r="M156" s="55"/>
      <c r="N156" s="80" t="s">
        <v>448</v>
      </c>
      <c r="O156" s="55"/>
      <c r="P156" s="83">
        <v>12</v>
      </c>
      <c r="Q156" s="83">
        <v>691</v>
      </c>
      <c r="R156" s="83"/>
      <c r="S156" s="83"/>
      <c r="T156" s="83"/>
      <c r="U156" s="83"/>
      <c r="V156" s="83"/>
      <c r="W156" s="83"/>
      <c r="X156" s="167"/>
      <c r="Y156" s="168"/>
      <c r="Z156" s="168"/>
      <c r="AA156" s="168"/>
      <c r="AB156" s="168"/>
      <c r="AC156" s="168"/>
      <c r="AD156" s="168"/>
      <c r="AE156" s="168"/>
    </row>
    <row r="157" spans="1:256" s="141" customFormat="1" ht="30" x14ac:dyDescent="0.25">
      <c r="A157" s="138">
        <v>15.11</v>
      </c>
      <c r="B157" s="165" t="s">
        <v>408</v>
      </c>
      <c r="C157" s="110">
        <v>4110000</v>
      </c>
      <c r="D157" s="195" t="s">
        <v>124</v>
      </c>
      <c r="E157" s="195"/>
      <c r="F157" s="11">
        <v>362</v>
      </c>
      <c r="G157" s="81" t="s">
        <v>22</v>
      </c>
      <c r="H157" s="129">
        <v>12</v>
      </c>
      <c r="I157" s="151">
        <v>98231509</v>
      </c>
      <c r="J157" s="174" t="s">
        <v>443</v>
      </c>
      <c r="K157" s="55">
        <v>1622.41</v>
      </c>
      <c r="L157" s="55"/>
      <c r="M157" s="55"/>
      <c r="N157" s="80" t="s">
        <v>448</v>
      </c>
      <c r="O157" s="55"/>
      <c r="P157" s="83">
        <v>12</v>
      </c>
      <c r="Q157" s="83">
        <v>1622</v>
      </c>
      <c r="R157" s="83"/>
      <c r="S157" s="83"/>
      <c r="T157" s="83"/>
      <c r="U157" s="83"/>
      <c r="V157" s="83"/>
      <c r="W157" s="83"/>
      <c r="X157" s="167"/>
      <c r="Y157" s="168"/>
      <c r="Z157" s="168"/>
      <c r="AA157" s="168"/>
      <c r="AB157" s="168"/>
      <c r="AC157" s="168"/>
      <c r="AD157" s="168"/>
      <c r="AE157" s="168"/>
    </row>
    <row r="158" spans="1:256" s="141" customFormat="1" ht="30" x14ac:dyDescent="0.25">
      <c r="A158" s="138">
        <v>15.12</v>
      </c>
      <c r="B158" s="165" t="s">
        <v>408</v>
      </c>
      <c r="C158" s="110">
        <v>4110000</v>
      </c>
      <c r="D158" s="195" t="s">
        <v>125</v>
      </c>
      <c r="E158" s="195"/>
      <c r="F158" s="11">
        <v>362</v>
      </c>
      <c r="G158" s="81" t="s">
        <v>22</v>
      </c>
      <c r="H158" s="129">
        <v>12</v>
      </c>
      <c r="I158" s="151">
        <v>98254551</v>
      </c>
      <c r="J158" s="24" t="s">
        <v>442</v>
      </c>
      <c r="K158" s="55">
        <v>886.07270999999992</v>
      </c>
      <c r="L158" s="55"/>
      <c r="M158" s="55"/>
      <c r="N158" s="80" t="s">
        <v>448</v>
      </c>
      <c r="O158" s="55"/>
      <c r="P158" s="83">
        <v>12</v>
      </c>
      <c r="Q158" s="83">
        <v>886</v>
      </c>
      <c r="R158" s="83"/>
      <c r="S158" s="83"/>
      <c r="T158" s="83"/>
      <c r="U158" s="83"/>
      <c r="V158" s="83"/>
      <c r="W158" s="83"/>
      <c r="X158" s="167"/>
      <c r="Y158" s="168"/>
      <c r="Z158" s="168"/>
      <c r="AA158" s="168"/>
      <c r="AB158" s="168"/>
      <c r="AC158" s="168"/>
      <c r="AD158" s="168"/>
      <c r="AE158" s="168"/>
    </row>
    <row r="159" spans="1:256" s="141" customFormat="1" ht="30" x14ac:dyDescent="0.25">
      <c r="A159" s="138">
        <v>15.13</v>
      </c>
      <c r="B159" s="165" t="s">
        <v>408</v>
      </c>
      <c r="C159" s="110">
        <v>4110000</v>
      </c>
      <c r="D159" s="195" t="s">
        <v>126</v>
      </c>
      <c r="E159" s="195"/>
      <c r="F159" s="11">
        <v>362</v>
      </c>
      <c r="G159" s="81" t="s">
        <v>22</v>
      </c>
      <c r="H159" s="129">
        <v>12</v>
      </c>
      <c r="I159" s="151">
        <v>98401</v>
      </c>
      <c r="J159" s="174" t="s">
        <v>429</v>
      </c>
      <c r="K159" s="55">
        <v>135140.43801888361</v>
      </c>
      <c r="L159" s="55"/>
      <c r="M159" s="55"/>
      <c r="N159" s="80" t="s">
        <v>448</v>
      </c>
      <c r="O159" s="55"/>
      <c r="P159" s="83">
        <v>12</v>
      </c>
      <c r="Q159" s="83">
        <v>135140</v>
      </c>
      <c r="R159" s="83"/>
      <c r="S159" s="83"/>
      <c r="T159" s="83"/>
      <c r="U159" s="83"/>
      <c r="V159" s="83"/>
      <c r="W159" s="83"/>
      <c r="X159" s="167"/>
      <c r="Y159" s="168"/>
      <c r="Z159" s="168"/>
      <c r="AA159" s="168"/>
      <c r="AB159" s="168"/>
      <c r="AC159" s="168"/>
      <c r="AD159" s="168"/>
      <c r="AE159" s="168"/>
    </row>
    <row r="160" spans="1:256" s="141" customFormat="1" x14ac:dyDescent="0.25">
      <c r="A160" s="138"/>
      <c r="B160" s="165"/>
      <c r="C160" s="110"/>
      <c r="D160" s="195"/>
      <c r="E160" s="196"/>
      <c r="F160" s="115"/>
      <c r="G160" s="54"/>
      <c r="H160" s="130"/>
      <c r="I160" s="151"/>
      <c r="J160" s="58"/>
      <c r="K160" s="59">
        <v>175842.18939580052</v>
      </c>
      <c r="L160" s="59"/>
      <c r="M160" s="59"/>
      <c r="N160" s="80"/>
      <c r="O160" s="59"/>
      <c r="P160" s="83"/>
      <c r="Q160" s="52">
        <v>175835</v>
      </c>
      <c r="R160" s="83"/>
      <c r="S160" s="52"/>
      <c r="T160" s="83"/>
      <c r="U160" s="52"/>
      <c r="V160" s="83"/>
      <c r="W160" s="52"/>
      <c r="X160" s="167"/>
      <c r="Y160" s="168"/>
      <c r="Z160" s="168"/>
      <c r="AA160" s="168"/>
      <c r="AB160" s="168"/>
      <c r="AC160" s="168"/>
      <c r="AD160" s="168"/>
      <c r="AE160" s="168"/>
    </row>
    <row r="161" spans="1:256" s="164" customFormat="1" ht="14.25" x14ac:dyDescent="0.2">
      <c r="A161" s="140">
        <v>16</v>
      </c>
      <c r="B161" s="156"/>
      <c r="C161" s="157"/>
      <c r="D161" s="158" t="s">
        <v>127</v>
      </c>
      <c r="E161" s="158"/>
      <c r="F161" s="159"/>
      <c r="G161" s="160"/>
      <c r="H161" s="160"/>
      <c r="I161" s="161"/>
      <c r="J161" s="162"/>
      <c r="K161" s="162"/>
      <c r="L161" s="162"/>
      <c r="M161" s="162"/>
      <c r="N161" s="162"/>
      <c r="O161" s="162"/>
      <c r="P161" s="162"/>
      <c r="Q161" s="162"/>
      <c r="R161" s="162"/>
      <c r="S161" s="162"/>
      <c r="T161" s="162"/>
      <c r="U161" s="162"/>
      <c r="V161" s="162"/>
      <c r="W161" s="162"/>
      <c r="X161" s="163"/>
      <c r="Y161" s="140"/>
      <c r="Z161" s="156"/>
      <c r="AA161" s="157"/>
      <c r="AB161" s="158"/>
      <c r="AC161" s="158"/>
      <c r="AD161" s="159"/>
      <c r="AE161" s="160"/>
      <c r="AF161" s="160"/>
      <c r="AG161" s="162"/>
      <c r="AH161" s="162"/>
      <c r="AI161" s="162"/>
      <c r="AJ161" s="162"/>
      <c r="AK161" s="162"/>
      <c r="AL161" s="162"/>
      <c r="AM161" s="162"/>
      <c r="AN161" s="162"/>
      <c r="AO161" s="162"/>
      <c r="AP161" s="162"/>
      <c r="AQ161" s="162"/>
      <c r="AR161" s="162"/>
      <c r="AS161" s="162"/>
      <c r="AT161" s="162"/>
      <c r="AU161" s="162"/>
      <c r="AV161" s="163"/>
      <c r="AW161" s="140"/>
      <c r="AX161" s="156"/>
      <c r="AY161" s="157"/>
      <c r="AZ161" s="158"/>
      <c r="BA161" s="158"/>
      <c r="BB161" s="159"/>
      <c r="BC161" s="160"/>
      <c r="BD161" s="160"/>
      <c r="BE161" s="162"/>
      <c r="BF161" s="162"/>
      <c r="BG161" s="162"/>
      <c r="BH161" s="162"/>
      <c r="BI161" s="162"/>
      <c r="BJ161" s="162"/>
      <c r="BK161" s="162"/>
      <c r="BL161" s="162"/>
      <c r="BM161" s="162"/>
      <c r="BN161" s="162"/>
      <c r="BO161" s="162"/>
      <c r="BP161" s="162"/>
      <c r="BQ161" s="162"/>
      <c r="BR161" s="162"/>
      <c r="BS161" s="162"/>
      <c r="BT161" s="163"/>
      <c r="BU161" s="140"/>
      <c r="BV161" s="156"/>
      <c r="BW161" s="157"/>
      <c r="BX161" s="158"/>
      <c r="BY161" s="158"/>
      <c r="BZ161" s="159"/>
      <c r="CA161" s="160"/>
      <c r="CB161" s="160"/>
      <c r="CC161" s="162"/>
      <c r="CD161" s="162"/>
      <c r="CE161" s="162"/>
      <c r="CF161" s="162"/>
      <c r="CG161" s="162"/>
      <c r="CH161" s="162"/>
      <c r="CI161" s="162"/>
      <c r="CJ161" s="162"/>
      <c r="CK161" s="162"/>
      <c r="CL161" s="162"/>
      <c r="CM161" s="162"/>
      <c r="CN161" s="162"/>
      <c r="CO161" s="162"/>
      <c r="CP161" s="162"/>
      <c r="CQ161" s="162"/>
      <c r="CR161" s="163"/>
      <c r="CS161" s="140"/>
      <c r="CT161" s="156"/>
      <c r="CU161" s="157"/>
      <c r="CV161" s="158"/>
      <c r="CW161" s="158"/>
      <c r="CX161" s="159"/>
      <c r="CY161" s="160"/>
      <c r="CZ161" s="160"/>
      <c r="DA161" s="162"/>
      <c r="DB161" s="162"/>
      <c r="DC161" s="162"/>
      <c r="DD161" s="162"/>
      <c r="DE161" s="162"/>
      <c r="DF161" s="162"/>
      <c r="DG161" s="162"/>
      <c r="DH161" s="162"/>
      <c r="DI161" s="162"/>
      <c r="DJ161" s="162"/>
      <c r="DK161" s="162"/>
      <c r="DL161" s="162"/>
      <c r="DM161" s="162"/>
      <c r="DN161" s="162"/>
      <c r="DO161" s="162"/>
      <c r="DP161" s="163"/>
      <c r="DQ161" s="140"/>
      <c r="DR161" s="156"/>
      <c r="DS161" s="157"/>
      <c r="DT161" s="158"/>
      <c r="DU161" s="158"/>
      <c r="DV161" s="159"/>
      <c r="DW161" s="160"/>
      <c r="DX161" s="160"/>
      <c r="DY161" s="162"/>
      <c r="DZ161" s="162"/>
      <c r="EA161" s="162"/>
      <c r="EB161" s="162"/>
      <c r="EC161" s="162"/>
      <c r="ED161" s="162"/>
      <c r="EE161" s="162"/>
      <c r="EF161" s="162"/>
      <c r="EG161" s="162"/>
      <c r="EH161" s="162"/>
      <c r="EI161" s="162"/>
      <c r="EJ161" s="162"/>
      <c r="EK161" s="162"/>
      <c r="EL161" s="162"/>
      <c r="EM161" s="162"/>
      <c r="EN161" s="163"/>
      <c r="EO161" s="140"/>
      <c r="EP161" s="156"/>
      <c r="EQ161" s="157"/>
      <c r="ER161" s="158"/>
      <c r="ES161" s="158"/>
      <c r="ET161" s="159"/>
      <c r="EU161" s="160"/>
      <c r="EV161" s="160"/>
      <c r="EW161" s="162"/>
      <c r="EX161" s="162"/>
      <c r="EY161" s="162"/>
      <c r="EZ161" s="162"/>
      <c r="FA161" s="162"/>
      <c r="FB161" s="162"/>
      <c r="FC161" s="162"/>
      <c r="FD161" s="162"/>
      <c r="FE161" s="162"/>
      <c r="FF161" s="162"/>
      <c r="FG161" s="162"/>
      <c r="FH161" s="162"/>
      <c r="FI161" s="162"/>
      <c r="FJ161" s="162"/>
      <c r="FK161" s="162"/>
      <c r="FL161" s="163"/>
      <c r="FM161" s="140"/>
      <c r="FN161" s="156"/>
      <c r="FO161" s="157"/>
      <c r="FP161" s="158"/>
      <c r="FQ161" s="158"/>
      <c r="FR161" s="159"/>
      <c r="FS161" s="160"/>
      <c r="FT161" s="160"/>
      <c r="FU161" s="162"/>
      <c r="FV161" s="162"/>
      <c r="FW161" s="162"/>
      <c r="FX161" s="162"/>
      <c r="FY161" s="162"/>
      <c r="FZ161" s="162"/>
      <c r="GA161" s="162"/>
      <c r="GB161" s="162"/>
      <c r="GC161" s="162"/>
      <c r="GD161" s="162"/>
      <c r="GE161" s="162"/>
      <c r="GF161" s="162"/>
      <c r="GG161" s="162"/>
      <c r="GH161" s="162"/>
      <c r="GI161" s="162"/>
      <c r="GJ161" s="163"/>
      <c r="GK161" s="140"/>
      <c r="GL161" s="156"/>
      <c r="GM161" s="157"/>
      <c r="GN161" s="158"/>
      <c r="GO161" s="158"/>
      <c r="GP161" s="159"/>
      <c r="GQ161" s="160"/>
      <c r="GR161" s="160"/>
      <c r="GS161" s="162"/>
      <c r="GT161" s="162"/>
      <c r="GU161" s="162"/>
      <c r="GV161" s="162"/>
      <c r="GW161" s="162"/>
      <c r="GX161" s="162"/>
      <c r="GY161" s="162"/>
      <c r="GZ161" s="162"/>
      <c r="HA161" s="162"/>
      <c r="HB161" s="162"/>
      <c r="HC161" s="162"/>
      <c r="HD161" s="162"/>
      <c r="HE161" s="162"/>
      <c r="HF161" s="162"/>
      <c r="HG161" s="162"/>
      <c r="HH161" s="163"/>
      <c r="HI161" s="140"/>
      <c r="HJ161" s="156"/>
      <c r="HK161" s="157"/>
      <c r="HL161" s="158"/>
      <c r="HM161" s="158"/>
      <c r="HN161" s="159"/>
      <c r="HO161" s="160"/>
      <c r="HP161" s="160"/>
      <c r="HQ161" s="162"/>
      <c r="HR161" s="162"/>
      <c r="HS161" s="162"/>
      <c r="HT161" s="162"/>
      <c r="HU161" s="162"/>
      <c r="HV161" s="162"/>
      <c r="HW161" s="162"/>
      <c r="HX161" s="162"/>
      <c r="HY161" s="162"/>
      <c r="HZ161" s="162"/>
      <c r="IA161" s="162"/>
      <c r="IB161" s="162"/>
      <c r="IC161" s="162"/>
      <c r="ID161" s="162"/>
      <c r="IE161" s="162"/>
      <c r="IF161" s="163"/>
      <c r="IG161" s="140"/>
      <c r="IH161" s="156"/>
      <c r="II161" s="157"/>
      <c r="IJ161" s="158"/>
      <c r="IK161" s="158"/>
      <c r="IL161" s="159"/>
      <c r="IM161" s="160"/>
      <c r="IN161" s="160"/>
      <c r="IO161" s="162"/>
      <c r="IP161" s="162"/>
      <c r="IQ161" s="162"/>
      <c r="IR161" s="162"/>
      <c r="IS161" s="162"/>
      <c r="IT161" s="162"/>
      <c r="IU161" s="162"/>
      <c r="IV161" s="162"/>
    </row>
    <row r="162" spans="1:256" s="141" customFormat="1" ht="30" x14ac:dyDescent="0.25">
      <c r="A162" s="138">
        <v>16.100000000000001</v>
      </c>
      <c r="B162" s="165" t="s">
        <v>407</v>
      </c>
      <c r="C162" s="110">
        <v>4030000</v>
      </c>
      <c r="D162" s="43" t="s">
        <v>114</v>
      </c>
      <c r="E162" s="43"/>
      <c r="F162" s="11">
        <v>233</v>
      </c>
      <c r="G162" s="11" t="s">
        <v>454</v>
      </c>
      <c r="H162" s="129">
        <v>10</v>
      </c>
      <c r="I162" s="151">
        <v>98231552</v>
      </c>
      <c r="J162" s="174" t="s">
        <v>432</v>
      </c>
      <c r="K162" s="55">
        <v>22121.522400000002</v>
      </c>
      <c r="L162" s="55"/>
      <c r="M162" s="55"/>
      <c r="N162" s="80" t="s">
        <v>448</v>
      </c>
      <c r="O162" s="55"/>
      <c r="P162" s="83">
        <v>12</v>
      </c>
      <c r="Q162" s="83">
        <v>22121.522400000002</v>
      </c>
      <c r="R162" s="83"/>
      <c r="S162" s="83"/>
      <c r="T162" s="83"/>
      <c r="U162" s="83"/>
      <c r="V162" s="83"/>
      <c r="W162" s="83"/>
      <c r="X162" s="167"/>
      <c r="Y162" s="168"/>
      <c r="Z162" s="168"/>
      <c r="AA162" s="168"/>
      <c r="AB162" s="168"/>
      <c r="AC162" s="168"/>
      <c r="AD162" s="168"/>
      <c r="AE162" s="168"/>
    </row>
    <row r="163" spans="1:256" s="141" customFormat="1" ht="30" x14ac:dyDescent="0.25">
      <c r="A163" s="138">
        <v>16.2</v>
      </c>
      <c r="B163" s="165" t="s">
        <v>407</v>
      </c>
      <c r="C163" s="110">
        <v>4030000</v>
      </c>
      <c r="D163" s="195" t="s">
        <v>115</v>
      </c>
      <c r="E163" s="195"/>
      <c r="F163" s="11">
        <v>233</v>
      </c>
      <c r="G163" s="11" t="s">
        <v>454</v>
      </c>
      <c r="H163" s="129">
        <v>12</v>
      </c>
      <c r="I163" s="151">
        <v>98201551</v>
      </c>
      <c r="J163" s="174" t="s">
        <v>433</v>
      </c>
      <c r="K163" s="55">
        <v>64723.259520000007</v>
      </c>
      <c r="L163" s="55"/>
      <c r="M163" s="55"/>
      <c r="N163" s="80" t="s">
        <v>448</v>
      </c>
      <c r="O163" s="55"/>
      <c r="P163" s="83">
        <v>12</v>
      </c>
      <c r="Q163" s="83">
        <v>64723.259520000007</v>
      </c>
      <c r="R163" s="83"/>
      <c r="S163" s="83"/>
      <c r="T163" s="83"/>
      <c r="U163" s="83"/>
      <c r="V163" s="83"/>
      <c r="W163" s="83"/>
      <c r="X163" s="167"/>
      <c r="Y163" s="168"/>
      <c r="Z163" s="168"/>
      <c r="AA163" s="168"/>
      <c r="AB163" s="168"/>
      <c r="AC163" s="168"/>
      <c r="AD163" s="168"/>
      <c r="AE163" s="168"/>
    </row>
    <row r="164" spans="1:256" s="141" customFormat="1" ht="30" x14ac:dyDescent="0.25">
      <c r="A164" s="138">
        <v>16.3</v>
      </c>
      <c r="B164" s="165" t="s">
        <v>407</v>
      </c>
      <c r="C164" s="110">
        <v>4030000</v>
      </c>
      <c r="D164" s="195" t="s">
        <v>128</v>
      </c>
      <c r="E164" s="195"/>
      <c r="F164" s="11">
        <v>233</v>
      </c>
      <c r="G164" s="11" t="s">
        <v>454</v>
      </c>
      <c r="H164" s="129">
        <v>34</v>
      </c>
      <c r="I164" s="151">
        <v>98218501</v>
      </c>
      <c r="J164" s="174" t="s">
        <v>434</v>
      </c>
      <c r="K164" s="55">
        <v>93748.99</v>
      </c>
      <c r="L164" s="55"/>
      <c r="M164" s="55"/>
      <c r="N164" s="80" t="s">
        <v>448</v>
      </c>
      <c r="O164" s="55"/>
      <c r="P164" s="83">
        <v>12</v>
      </c>
      <c r="Q164" s="83">
        <v>93748.99</v>
      </c>
      <c r="R164" s="83"/>
      <c r="S164" s="83"/>
      <c r="T164" s="83"/>
      <c r="U164" s="83"/>
      <c r="V164" s="83"/>
      <c r="W164" s="83"/>
      <c r="X164" s="167"/>
      <c r="Y164" s="168"/>
      <c r="Z164" s="168"/>
      <c r="AA164" s="168"/>
      <c r="AB164" s="168"/>
      <c r="AC164" s="168"/>
      <c r="AD164" s="168"/>
      <c r="AE164" s="168"/>
    </row>
    <row r="165" spans="1:256" s="141" customFormat="1" ht="30" x14ac:dyDescent="0.25">
      <c r="A165" s="138">
        <v>16.399999999999999</v>
      </c>
      <c r="B165" s="165" t="s">
        <v>407</v>
      </c>
      <c r="C165" s="110">
        <v>4030000</v>
      </c>
      <c r="D165" s="195" t="s">
        <v>116</v>
      </c>
      <c r="E165" s="195"/>
      <c r="F165" s="11">
        <v>233</v>
      </c>
      <c r="G165" s="11" t="s">
        <v>454</v>
      </c>
      <c r="H165" s="129">
        <v>12</v>
      </c>
      <c r="I165" s="151">
        <v>98401554</v>
      </c>
      <c r="J165" s="174" t="s">
        <v>437</v>
      </c>
      <c r="K165" s="55">
        <v>13302.971880000003</v>
      </c>
      <c r="L165" s="55"/>
      <c r="M165" s="55"/>
      <c r="N165" s="80" t="s">
        <v>448</v>
      </c>
      <c r="O165" s="55"/>
      <c r="P165" s="83">
        <v>12</v>
      </c>
      <c r="Q165" s="83">
        <v>13302.971880000003</v>
      </c>
      <c r="R165" s="83"/>
      <c r="S165" s="83"/>
      <c r="T165" s="83"/>
      <c r="U165" s="83"/>
      <c r="V165" s="83"/>
      <c r="W165" s="83"/>
      <c r="X165" s="167"/>
      <c r="Y165" s="168"/>
      <c r="Z165" s="168"/>
      <c r="AA165" s="168"/>
      <c r="AB165" s="168"/>
      <c r="AC165" s="168"/>
      <c r="AD165" s="168"/>
      <c r="AE165" s="168"/>
    </row>
    <row r="166" spans="1:256" s="141" customFormat="1" ht="30" x14ac:dyDescent="0.25">
      <c r="A166" s="138">
        <v>16.5</v>
      </c>
      <c r="B166" s="165" t="s">
        <v>407</v>
      </c>
      <c r="C166" s="110">
        <v>4030000</v>
      </c>
      <c r="D166" s="195" t="s">
        <v>117</v>
      </c>
      <c r="E166" s="195"/>
      <c r="F166" s="11">
        <v>233</v>
      </c>
      <c r="G166" s="11" t="s">
        <v>454</v>
      </c>
      <c r="H166" s="129">
        <v>12</v>
      </c>
      <c r="I166" s="151">
        <v>98222</v>
      </c>
      <c r="J166" s="174" t="s">
        <v>438</v>
      </c>
      <c r="K166" s="55">
        <v>51963.434999999998</v>
      </c>
      <c r="L166" s="55"/>
      <c r="M166" s="55"/>
      <c r="N166" s="80" t="s">
        <v>448</v>
      </c>
      <c r="O166" s="55"/>
      <c r="P166" s="83">
        <v>12</v>
      </c>
      <c r="Q166" s="83">
        <v>51963.434999999998</v>
      </c>
      <c r="R166" s="83"/>
      <c r="S166" s="83"/>
      <c r="T166" s="83"/>
      <c r="U166" s="83"/>
      <c r="V166" s="83"/>
      <c r="W166" s="83"/>
      <c r="X166" s="167"/>
      <c r="Y166" s="168"/>
      <c r="Z166" s="168"/>
      <c r="AA166" s="168"/>
      <c r="AB166" s="168"/>
      <c r="AC166" s="168"/>
      <c r="AD166" s="168"/>
      <c r="AE166" s="168"/>
    </row>
    <row r="167" spans="1:256" s="141" customFormat="1" ht="30" x14ac:dyDescent="0.25">
      <c r="A167" s="138">
        <v>16.600000000000001</v>
      </c>
      <c r="B167" s="165" t="s">
        <v>407</v>
      </c>
      <c r="C167" s="110">
        <v>4030000</v>
      </c>
      <c r="D167" s="195" t="s">
        <v>118</v>
      </c>
      <c r="E167" s="195"/>
      <c r="F167" s="11">
        <v>233</v>
      </c>
      <c r="G167" s="11" t="s">
        <v>454</v>
      </c>
      <c r="H167" s="129">
        <v>14.9</v>
      </c>
      <c r="I167" s="151">
        <v>98224551</v>
      </c>
      <c r="J167" s="174" t="s">
        <v>436</v>
      </c>
      <c r="K167" s="55">
        <v>45184.78</v>
      </c>
      <c r="L167" s="55"/>
      <c r="M167" s="55"/>
      <c r="N167" s="80" t="s">
        <v>448</v>
      </c>
      <c r="O167" s="55"/>
      <c r="P167" s="83">
        <v>12</v>
      </c>
      <c r="Q167" s="83">
        <v>45184.78</v>
      </c>
      <c r="R167" s="83"/>
      <c r="S167" s="83"/>
      <c r="T167" s="83"/>
      <c r="U167" s="83"/>
      <c r="V167" s="83"/>
      <c r="W167" s="83"/>
      <c r="X167" s="167"/>
      <c r="Y167" s="168"/>
      <c r="Z167" s="168"/>
      <c r="AA167" s="168"/>
      <c r="AB167" s="168"/>
      <c r="AC167" s="168"/>
      <c r="AD167" s="168"/>
      <c r="AE167" s="168"/>
    </row>
    <row r="168" spans="1:256" s="141" customFormat="1" ht="30" x14ac:dyDescent="0.25">
      <c r="A168" s="138">
        <v>16.7</v>
      </c>
      <c r="B168" s="165" t="s">
        <v>407</v>
      </c>
      <c r="C168" s="110">
        <v>4030000</v>
      </c>
      <c r="D168" s="195" t="s">
        <v>119</v>
      </c>
      <c r="E168" s="195"/>
      <c r="F168" s="11">
        <v>233</v>
      </c>
      <c r="G168" s="11" t="s">
        <v>454</v>
      </c>
      <c r="H168" s="129">
        <v>191</v>
      </c>
      <c r="I168" s="151">
        <v>98227501</v>
      </c>
      <c r="J168" s="174" t="s">
        <v>430</v>
      </c>
      <c r="K168" s="55">
        <v>690838.29220000003</v>
      </c>
      <c r="L168" s="55"/>
      <c r="M168" s="55"/>
      <c r="N168" s="80" t="s">
        <v>448</v>
      </c>
      <c r="O168" s="55"/>
      <c r="P168" s="83">
        <v>12</v>
      </c>
      <c r="Q168" s="83">
        <v>690838.29220000003</v>
      </c>
      <c r="R168" s="83"/>
      <c r="S168" s="83"/>
      <c r="T168" s="83"/>
      <c r="U168" s="83"/>
      <c r="V168" s="83"/>
      <c r="W168" s="83"/>
      <c r="X168" s="167"/>
      <c r="Y168" s="168"/>
      <c r="Z168" s="168"/>
      <c r="AA168" s="168"/>
      <c r="AB168" s="168"/>
      <c r="AC168" s="168"/>
      <c r="AD168" s="168"/>
      <c r="AE168" s="168"/>
    </row>
    <row r="169" spans="1:256" s="141" customFormat="1" ht="30" x14ac:dyDescent="0.25">
      <c r="A169" s="138">
        <v>16.8</v>
      </c>
      <c r="B169" s="165" t="s">
        <v>407</v>
      </c>
      <c r="C169" s="110">
        <v>4030000</v>
      </c>
      <c r="D169" s="195" t="s">
        <v>120</v>
      </c>
      <c r="E169" s="195"/>
      <c r="F169" s="11">
        <v>233</v>
      </c>
      <c r="G169" s="11" t="s">
        <v>454</v>
      </c>
      <c r="H169" s="129">
        <v>12</v>
      </c>
      <c r="I169" s="151">
        <v>98229</v>
      </c>
      <c r="J169" s="174" t="s">
        <v>439</v>
      </c>
      <c r="K169" s="55">
        <v>18720.078000000001</v>
      </c>
      <c r="L169" s="55"/>
      <c r="M169" s="55"/>
      <c r="N169" s="80" t="s">
        <v>448</v>
      </c>
      <c r="O169" s="55"/>
      <c r="P169" s="83">
        <v>12</v>
      </c>
      <c r="Q169" s="83">
        <v>18720.078000000001</v>
      </c>
      <c r="R169" s="83"/>
      <c r="S169" s="83"/>
      <c r="T169" s="83"/>
      <c r="U169" s="83"/>
      <c r="V169" s="83"/>
      <c r="W169" s="83"/>
      <c r="X169" s="167"/>
      <c r="Y169" s="168"/>
      <c r="Z169" s="168"/>
      <c r="AA169" s="168"/>
      <c r="AB169" s="168"/>
      <c r="AC169" s="168"/>
      <c r="AD169" s="168"/>
      <c r="AE169" s="168"/>
    </row>
    <row r="170" spans="1:256" s="141" customFormat="1" ht="30" x14ac:dyDescent="0.25">
      <c r="A170" s="138">
        <v>16.899999999999999</v>
      </c>
      <c r="B170" s="165" t="s">
        <v>407</v>
      </c>
      <c r="C170" s="110">
        <v>4030000</v>
      </c>
      <c r="D170" s="195" t="s">
        <v>121</v>
      </c>
      <c r="E170" s="195"/>
      <c r="F170" s="11">
        <v>233</v>
      </c>
      <c r="G170" s="11" t="s">
        <v>454</v>
      </c>
      <c r="H170" s="129">
        <v>68.599999999999994</v>
      </c>
      <c r="I170" s="151">
        <v>98404</v>
      </c>
      <c r="J170" s="174" t="s">
        <v>440</v>
      </c>
      <c r="K170" s="55">
        <v>100227.1</v>
      </c>
      <c r="L170" s="55"/>
      <c r="M170" s="55"/>
      <c r="N170" s="80" t="s">
        <v>448</v>
      </c>
      <c r="O170" s="55"/>
      <c r="P170" s="83">
        <v>12</v>
      </c>
      <c r="Q170" s="83">
        <v>100227.1</v>
      </c>
      <c r="R170" s="83"/>
      <c r="S170" s="83"/>
      <c r="T170" s="83"/>
      <c r="U170" s="83"/>
      <c r="V170" s="83"/>
      <c r="W170" s="83"/>
      <c r="X170" s="167"/>
      <c r="Y170" s="168"/>
      <c r="Z170" s="168"/>
      <c r="AA170" s="168"/>
      <c r="AB170" s="168"/>
      <c r="AC170" s="168"/>
      <c r="AD170" s="168"/>
      <c r="AE170" s="168"/>
    </row>
    <row r="171" spans="1:256" s="141" customFormat="1" ht="30" x14ac:dyDescent="0.25">
      <c r="A171" s="138">
        <v>16.100000000000001</v>
      </c>
      <c r="B171" s="165" t="s">
        <v>407</v>
      </c>
      <c r="C171" s="110">
        <v>4030000</v>
      </c>
      <c r="D171" s="195" t="s">
        <v>122</v>
      </c>
      <c r="E171" s="195"/>
      <c r="F171" s="11">
        <v>233</v>
      </c>
      <c r="G171" s="11" t="s">
        <v>454</v>
      </c>
      <c r="H171" s="129">
        <v>30.8</v>
      </c>
      <c r="I171" s="151">
        <v>98406</v>
      </c>
      <c r="J171" s="174" t="s">
        <v>441</v>
      </c>
      <c r="K171" s="55">
        <v>53237.49760000001</v>
      </c>
      <c r="L171" s="55"/>
      <c r="M171" s="55"/>
      <c r="N171" s="80" t="s">
        <v>448</v>
      </c>
      <c r="O171" s="55"/>
      <c r="P171" s="83">
        <v>12</v>
      </c>
      <c r="Q171" s="83">
        <v>53237.49760000001</v>
      </c>
      <c r="R171" s="83"/>
      <c r="S171" s="83"/>
      <c r="T171" s="83"/>
      <c r="U171" s="83"/>
      <c r="V171" s="83"/>
      <c r="W171" s="83"/>
      <c r="X171" s="167"/>
      <c r="Y171" s="168"/>
      <c r="Z171" s="168"/>
      <c r="AA171" s="168"/>
      <c r="AB171" s="168"/>
      <c r="AC171" s="168"/>
      <c r="AD171" s="168"/>
      <c r="AE171" s="168"/>
    </row>
    <row r="172" spans="1:256" s="141" customFormat="1" ht="30" x14ac:dyDescent="0.25">
      <c r="A172" s="138">
        <v>16.11</v>
      </c>
      <c r="B172" s="165" t="s">
        <v>407</v>
      </c>
      <c r="C172" s="110">
        <v>4030000</v>
      </c>
      <c r="D172" s="195" t="s">
        <v>123</v>
      </c>
      <c r="E172" s="195"/>
      <c r="F172" s="11">
        <v>233</v>
      </c>
      <c r="G172" s="11" t="s">
        <v>454</v>
      </c>
      <c r="H172" s="129">
        <v>9.61</v>
      </c>
      <c r="I172" s="151">
        <v>98237551</v>
      </c>
      <c r="J172" s="174" t="s">
        <v>445</v>
      </c>
      <c r="K172" s="55">
        <v>40065.305084745763</v>
      </c>
      <c r="L172" s="55"/>
      <c r="M172" s="55"/>
      <c r="N172" s="80" t="s">
        <v>448</v>
      </c>
      <c r="O172" s="55"/>
      <c r="P172" s="83">
        <v>12</v>
      </c>
      <c r="Q172" s="83">
        <v>40065.305084745763</v>
      </c>
      <c r="R172" s="83"/>
      <c r="S172" s="83"/>
      <c r="T172" s="83"/>
      <c r="U172" s="83"/>
      <c r="V172" s="83"/>
      <c r="W172" s="83"/>
      <c r="X172" s="167"/>
      <c r="Y172" s="168"/>
      <c r="Z172" s="168"/>
      <c r="AA172" s="168"/>
      <c r="AB172" s="168"/>
      <c r="AC172" s="168"/>
      <c r="AD172" s="168"/>
      <c r="AE172" s="168"/>
    </row>
    <row r="173" spans="1:256" s="141" customFormat="1" ht="30" x14ac:dyDescent="0.25">
      <c r="A173" s="138">
        <v>16.12</v>
      </c>
      <c r="B173" s="165" t="s">
        <v>407</v>
      </c>
      <c r="C173" s="110">
        <v>4030000</v>
      </c>
      <c r="D173" s="195" t="s">
        <v>129</v>
      </c>
      <c r="E173" s="195"/>
      <c r="F173" s="11">
        <v>233</v>
      </c>
      <c r="G173" s="11" t="s">
        <v>454</v>
      </c>
      <c r="H173" s="129">
        <v>36.979999999999997</v>
      </c>
      <c r="I173" s="151">
        <v>98241501</v>
      </c>
      <c r="J173" s="24" t="s">
        <v>456</v>
      </c>
      <c r="K173" s="55">
        <v>93501.52</v>
      </c>
      <c r="L173" s="55"/>
      <c r="M173" s="55"/>
      <c r="N173" s="80" t="s">
        <v>448</v>
      </c>
      <c r="O173" s="55"/>
      <c r="P173" s="83">
        <v>12</v>
      </c>
      <c r="Q173" s="83">
        <v>93501.52</v>
      </c>
      <c r="R173" s="83"/>
      <c r="S173" s="83"/>
      <c r="T173" s="83"/>
      <c r="U173" s="83"/>
      <c r="V173" s="83"/>
      <c r="W173" s="83"/>
      <c r="X173" s="167"/>
      <c r="Y173" s="168"/>
      <c r="Z173" s="168"/>
      <c r="AA173" s="168"/>
      <c r="AB173" s="168"/>
      <c r="AC173" s="168"/>
      <c r="AD173" s="168"/>
      <c r="AE173" s="168"/>
    </row>
    <row r="174" spans="1:256" s="141" customFormat="1" ht="30" x14ac:dyDescent="0.25">
      <c r="A174" s="138">
        <v>16.13</v>
      </c>
      <c r="B174" s="165" t="s">
        <v>407</v>
      </c>
      <c r="C174" s="110">
        <v>4030000</v>
      </c>
      <c r="D174" s="195" t="s">
        <v>130</v>
      </c>
      <c r="E174" s="195"/>
      <c r="F174" s="11">
        <v>233</v>
      </c>
      <c r="G174" s="11" t="s">
        <v>454</v>
      </c>
      <c r="H174" s="129">
        <v>7.79</v>
      </c>
      <c r="I174" s="152">
        <v>98242</v>
      </c>
      <c r="J174" s="174" t="s">
        <v>446</v>
      </c>
      <c r="K174" s="55">
        <v>41323.210999999996</v>
      </c>
      <c r="L174" s="55"/>
      <c r="M174" s="55"/>
      <c r="N174" s="80" t="s">
        <v>448</v>
      </c>
      <c r="O174" s="55"/>
      <c r="P174" s="83">
        <v>12</v>
      </c>
      <c r="Q174" s="83">
        <v>41323.210999999996</v>
      </c>
      <c r="R174" s="83"/>
      <c r="S174" s="83"/>
      <c r="T174" s="83"/>
      <c r="U174" s="83"/>
      <c r="V174" s="83"/>
      <c r="W174" s="83"/>
      <c r="X174" s="167"/>
      <c r="Y174" s="168"/>
      <c r="Z174" s="168"/>
      <c r="AA174" s="168"/>
      <c r="AB174" s="168"/>
      <c r="AC174" s="168"/>
      <c r="AD174" s="168"/>
      <c r="AE174" s="168"/>
    </row>
    <row r="175" spans="1:256" s="141" customFormat="1" ht="30" x14ac:dyDescent="0.25">
      <c r="A175" s="138">
        <v>16.14</v>
      </c>
      <c r="B175" s="165" t="s">
        <v>407</v>
      </c>
      <c r="C175" s="110">
        <v>4030000</v>
      </c>
      <c r="D175" s="195" t="s">
        <v>131</v>
      </c>
      <c r="E175" s="195"/>
      <c r="F175" s="11">
        <v>233</v>
      </c>
      <c r="G175" s="11" t="s">
        <v>454</v>
      </c>
      <c r="H175" s="129">
        <v>79.739999999999995</v>
      </c>
      <c r="I175" s="151">
        <v>98248</v>
      </c>
      <c r="J175" s="83" t="s">
        <v>444</v>
      </c>
      <c r="K175" s="55">
        <v>266475.21000000002</v>
      </c>
      <c r="L175" s="55"/>
      <c r="M175" s="55"/>
      <c r="N175" s="80" t="s">
        <v>448</v>
      </c>
      <c r="O175" s="55"/>
      <c r="P175" s="83">
        <v>12</v>
      </c>
      <c r="Q175" s="83">
        <v>266475.21000000002</v>
      </c>
      <c r="R175" s="83"/>
      <c r="S175" s="83"/>
      <c r="T175" s="83"/>
      <c r="U175" s="83"/>
      <c r="V175" s="83"/>
      <c r="W175" s="83"/>
      <c r="X175" s="167"/>
      <c r="Y175" s="168"/>
      <c r="Z175" s="168"/>
      <c r="AA175" s="168"/>
      <c r="AB175" s="168"/>
      <c r="AC175" s="168"/>
      <c r="AD175" s="168"/>
      <c r="AE175" s="168"/>
    </row>
    <row r="176" spans="1:256" s="141" customFormat="1" ht="30" x14ac:dyDescent="0.25">
      <c r="A176" s="138">
        <v>16.149999999999999</v>
      </c>
      <c r="B176" s="165" t="s">
        <v>407</v>
      </c>
      <c r="C176" s="110">
        <v>4030000</v>
      </c>
      <c r="D176" s="195" t="s">
        <v>132</v>
      </c>
      <c r="E176" s="195"/>
      <c r="F176" s="11">
        <v>233</v>
      </c>
      <c r="G176" s="11" t="s">
        <v>454</v>
      </c>
      <c r="H176" s="129">
        <v>60.66</v>
      </c>
      <c r="I176" s="151">
        <v>98204</v>
      </c>
      <c r="J176" s="83" t="s">
        <v>431</v>
      </c>
      <c r="K176" s="55">
        <v>192933.54</v>
      </c>
      <c r="L176" s="55"/>
      <c r="M176" s="55"/>
      <c r="N176" s="80" t="s">
        <v>448</v>
      </c>
      <c r="O176" s="55"/>
      <c r="P176" s="83">
        <v>12</v>
      </c>
      <c r="Q176" s="83">
        <v>192933.54</v>
      </c>
      <c r="R176" s="83"/>
      <c r="S176" s="83"/>
      <c r="T176" s="83"/>
      <c r="U176" s="83"/>
      <c r="V176" s="83"/>
      <c r="W176" s="83"/>
      <c r="X176" s="167"/>
      <c r="Y176" s="168"/>
      <c r="Z176" s="168"/>
      <c r="AA176" s="168"/>
      <c r="AB176" s="168"/>
      <c r="AC176" s="168"/>
      <c r="AD176" s="168"/>
      <c r="AE176" s="168"/>
    </row>
    <row r="177" spans="1:256" s="141" customFormat="1" ht="30" x14ac:dyDescent="0.25">
      <c r="A177" s="138">
        <v>16.16</v>
      </c>
      <c r="B177" s="165" t="s">
        <v>407</v>
      </c>
      <c r="C177" s="110">
        <v>4030000</v>
      </c>
      <c r="D177" s="195" t="s">
        <v>124</v>
      </c>
      <c r="E177" s="195"/>
      <c r="F177" s="11">
        <v>233</v>
      </c>
      <c r="G177" s="11" t="s">
        <v>454</v>
      </c>
      <c r="H177" s="129">
        <v>14.3</v>
      </c>
      <c r="I177" s="151">
        <v>98231509</v>
      </c>
      <c r="J177" s="174" t="s">
        <v>443</v>
      </c>
      <c r="K177" s="55">
        <v>89362.02</v>
      </c>
      <c r="L177" s="55"/>
      <c r="M177" s="55"/>
      <c r="N177" s="80" t="s">
        <v>448</v>
      </c>
      <c r="O177" s="55"/>
      <c r="P177" s="83">
        <v>12</v>
      </c>
      <c r="Q177" s="83">
        <v>89362.02</v>
      </c>
      <c r="R177" s="83"/>
      <c r="S177" s="83"/>
      <c r="T177" s="83"/>
      <c r="U177" s="83"/>
      <c r="V177" s="83"/>
      <c r="W177" s="83"/>
      <c r="X177" s="167"/>
      <c r="Y177" s="168"/>
      <c r="Z177" s="168"/>
      <c r="AA177" s="168"/>
      <c r="AB177" s="168"/>
      <c r="AC177" s="168"/>
      <c r="AD177" s="168"/>
      <c r="AE177" s="168"/>
    </row>
    <row r="178" spans="1:256" s="141" customFormat="1" ht="30" x14ac:dyDescent="0.25">
      <c r="A178" s="138">
        <v>16.170000000000002</v>
      </c>
      <c r="B178" s="165" t="s">
        <v>407</v>
      </c>
      <c r="C178" s="110">
        <v>4030000</v>
      </c>
      <c r="D178" s="195" t="s">
        <v>125</v>
      </c>
      <c r="E178" s="195"/>
      <c r="F178" s="11">
        <v>233</v>
      </c>
      <c r="G178" s="11" t="s">
        <v>454</v>
      </c>
      <c r="H178" s="129">
        <v>100.883</v>
      </c>
      <c r="I178" s="151">
        <v>98254551</v>
      </c>
      <c r="J178" s="24" t="s">
        <v>442</v>
      </c>
      <c r="K178" s="55">
        <v>221945.46839999998</v>
      </c>
      <c r="L178" s="55"/>
      <c r="M178" s="55"/>
      <c r="N178" s="80" t="s">
        <v>448</v>
      </c>
      <c r="O178" s="55"/>
      <c r="P178" s="83">
        <v>12</v>
      </c>
      <c r="Q178" s="83">
        <v>221945.46839999998</v>
      </c>
      <c r="R178" s="83"/>
      <c r="S178" s="83"/>
      <c r="T178" s="83"/>
      <c r="U178" s="83"/>
      <c r="V178" s="83"/>
      <c r="W178" s="83"/>
      <c r="X178" s="167"/>
      <c r="Y178" s="168"/>
      <c r="Z178" s="168"/>
      <c r="AA178" s="168"/>
      <c r="AB178" s="168"/>
      <c r="AC178" s="168"/>
      <c r="AD178" s="168"/>
      <c r="AE178" s="168"/>
    </row>
    <row r="179" spans="1:256" s="141" customFormat="1" ht="45" x14ac:dyDescent="0.25">
      <c r="A179" s="138">
        <v>16.18</v>
      </c>
      <c r="B179" s="165" t="s">
        <v>407</v>
      </c>
      <c r="C179" s="110">
        <v>4030000</v>
      </c>
      <c r="D179" s="195" t="s">
        <v>133</v>
      </c>
      <c r="E179" s="195"/>
      <c r="F179" s="11">
        <v>233</v>
      </c>
      <c r="G179" s="11" t="s">
        <v>454</v>
      </c>
      <c r="H179" s="129">
        <v>99.9</v>
      </c>
      <c r="I179" s="151">
        <v>98258</v>
      </c>
      <c r="J179" s="83" t="s">
        <v>435</v>
      </c>
      <c r="K179" s="55">
        <v>345675.21</v>
      </c>
      <c r="L179" s="55"/>
      <c r="M179" s="55"/>
      <c r="N179" s="80" t="s">
        <v>448</v>
      </c>
      <c r="O179" s="55"/>
      <c r="P179" s="83">
        <v>12</v>
      </c>
      <c r="Q179" s="83">
        <v>345675.21</v>
      </c>
      <c r="R179" s="83"/>
      <c r="S179" s="83"/>
      <c r="T179" s="83"/>
      <c r="U179" s="83"/>
      <c r="V179" s="83"/>
      <c r="W179" s="83"/>
      <c r="X179" s="167"/>
      <c r="Y179" s="168"/>
      <c r="Z179" s="168"/>
      <c r="AA179" s="168"/>
      <c r="AB179" s="168"/>
      <c r="AC179" s="168"/>
      <c r="AD179" s="168"/>
      <c r="AE179" s="168"/>
    </row>
    <row r="180" spans="1:256" s="141" customFormat="1" ht="30" x14ac:dyDescent="0.25">
      <c r="A180" s="138">
        <v>16.190000000000001</v>
      </c>
      <c r="B180" s="165" t="s">
        <v>407</v>
      </c>
      <c r="C180" s="110">
        <v>4020000</v>
      </c>
      <c r="D180" s="195" t="s">
        <v>126</v>
      </c>
      <c r="E180" s="195"/>
      <c r="F180" s="11">
        <v>114</v>
      </c>
      <c r="G180" s="11" t="s">
        <v>455</v>
      </c>
      <c r="H180" s="129">
        <v>175</v>
      </c>
      <c r="I180" s="151">
        <v>98401</v>
      </c>
      <c r="J180" s="174" t="s">
        <v>429</v>
      </c>
      <c r="K180" s="55">
        <v>547814.87562185014</v>
      </c>
      <c r="L180" s="55"/>
      <c r="M180" s="55"/>
      <c r="N180" s="80" t="s">
        <v>448</v>
      </c>
      <c r="O180" s="55"/>
      <c r="P180" s="83">
        <v>12</v>
      </c>
      <c r="Q180" s="83">
        <v>547814.87562185014</v>
      </c>
      <c r="R180" s="83"/>
      <c r="S180" s="83"/>
      <c r="T180" s="83"/>
      <c r="U180" s="83"/>
      <c r="V180" s="83"/>
      <c r="W180" s="83"/>
      <c r="X180" s="167"/>
      <c r="Y180" s="168"/>
      <c r="Z180" s="168"/>
      <c r="AA180" s="168"/>
      <c r="AB180" s="168"/>
      <c r="AC180" s="168"/>
      <c r="AD180" s="168"/>
      <c r="AE180" s="168"/>
    </row>
    <row r="181" spans="1:256" s="141" customFormat="1" x14ac:dyDescent="0.25">
      <c r="A181" s="138"/>
      <c r="B181" s="165"/>
      <c r="C181" s="110"/>
      <c r="D181" s="195"/>
      <c r="E181" s="196"/>
      <c r="F181" s="11"/>
      <c r="G181" s="54"/>
      <c r="H181" s="54"/>
      <c r="I181" s="151"/>
      <c r="J181" s="55"/>
      <c r="K181" s="52">
        <v>2993164.2867065961</v>
      </c>
      <c r="L181" s="52"/>
      <c r="M181" s="52"/>
      <c r="N181" s="80"/>
      <c r="O181" s="52"/>
      <c r="P181" s="83"/>
      <c r="Q181" s="52">
        <v>2993164.2867065961</v>
      </c>
      <c r="R181" s="83"/>
      <c r="S181" s="52"/>
      <c r="T181" s="83"/>
      <c r="U181" s="52"/>
      <c r="V181" s="83"/>
      <c r="W181" s="52"/>
      <c r="X181" s="167"/>
      <c r="Y181" s="168"/>
      <c r="Z181" s="168"/>
      <c r="AA181" s="168"/>
      <c r="AB181" s="168"/>
      <c r="AC181" s="168"/>
      <c r="AD181" s="168"/>
      <c r="AE181" s="168"/>
    </row>
    <row r="182" spans="1:256" s="164" customFormat="1" ht="28.5" x14ac:dyDescent="0.2">
      <c r="A182" s="140">
        <v>17</v>
      </c>
      <c r="B182" s="156"/>
      <c r="C182" s="157"/>
      <c r="D182" s="158" t="s">
        <v>134</v>
      </c>
      <c r="E182" s="158"/>
      <c r="F182" s="159"/>
      <c r="G182" s="160"/>
      <c r="H182" s="160"/>
      <c r="I182" s="161"/>
      <c r="J182" s="162"/>
      <c r="K182" s="162"/>
      <c r="L182" s="162"/>
      <c r="M182" s="162"/>
      <c r="N182" s="162" t="s">
        <v>448</v>
      </c>
      <c r="O182" s="162"/>
      <c r="P182" s="162"/>
      <c r="Q182" s="162"/>
      <c r="R182" s="162"/>
      <c r="S182" s="162"/>
      <c r="T182" s="162"/>
      <c r="U182" s="162"/>
      <c r="V182" s="162"/>
      <c r="W182" s="162"/>
      <c r="X182" s="163"/>
      <c r="Y182" s="140"/>
      <c r="Z182" s="156"/>
      <c r="AA182" s="157"/>
      <c r="AB182" s="158"/>
      <c r="AC182" s="158"/>
      <c r="AD182" s="159"/>
      <c r="AE182" s="160"/>
      <c r="AF182" s="160"/>
      <c r="AG182" s="162"/>
      <c r="AH182" s="162"/>
      <c r="AI182" s="162"/>
      <c r="AJ182" s="162"/>
      <c r="AK182" s="162"/>
      <c r="AL182" s="162"/>
      <c r="AM182" s="162"/>
      <c r="AN182" s="162"/>
      <c r="AO182" s="162"/>
      <c r="AP182" s="162"/>
      <c r="AQ182" s="162"/>
      <c r="AR182" s="162"/>
      <c r="AS182" s="162"/>
      <c r="AT182" s="162"/>
      <c r="AU182" s="162"/>
      <c r="AV182" s="163"/>
      <c r="AW182" s="140"/>
      <c r="AX182" s="156"/>
      <c r="AY182" s="157"/>
      <c r="AZ182" s="158"/>
      <c r="BA182" s="158"/>
      <c r="BB182" s="159"/>
      <c r="BC182" s="160"/>
      <c r="BD182" s="160"/>
      <c r="BE182" s="162"/>
      <c r="BF182" s="162"/>
      <c r="BG182" s="162"/>
      <c r="BH182" s="162"/>
      <c r="BI182" s="162"/>
      <c r="BJ182" s="162"/>
      <c r="BK182" s="162"/>
      <c r="BL182" s="162"/>
      <c r="BM182" s="162"/>
      <c r="BN182" s="162"/>
      <c r="BO182" s="162"/>
      <c r="BP182" s="162"/>
      <c r="BQ182" s="162"/>
      <c r="BR182" s="162"/>
      <c r="BS182" s="162"/>
      <c r="BT182" s="163"/>
      <c r="BU182" s="140"/>
      <c r="BV182" s="156"/>
      <c r="BW182" s="157"/>
      <c r="BX182" s="158"/>
      <c r="BY182" s="158"/>
      <c r="BZ182" s="159"/>
      <c r="CA182" s="160"/>
      <c r="CB182" s="160"/>
      <c r="CC182" s="162"/>
      <c r="CD182" s="162"/>
      <c r="CE182" s="162"/>
      <c r="CF182" s="162"/>
      <c r="CG182" s="162"/>
      <c r="CH182" s="162"/>
      <c r="CI182" s="162"/>
      <c r="CJ182" s="162"/>
      <c r="CK182" s="162"/>
      <c r="CL182" s="162"/>
      <c r="CM182" s="162"/>
      <c r="CN182" s="162"/>
      <c r="CO182" s="162"/>
      <c r="CP182" s="162"/>
      <c r="CQ182" s="162"/>
      <c r="CR182" s="163"/>
      <c r="CS182" s="140"/>
      <c r="CT182" s="156"/>
      <c r="CU182" s="157"/>
      <c r="CV182" s="158"/>
      <c r="CW182" s="158"/>
      <c r="CX182" s="159"/>
      <c r="CY182" s="160"/>
      <c r="CZ182" s="160"/>
      <c r="DA182" s="162"/>
      <c r="DB182" s="162"/>
      <c r="DC182" s="162"/>
      <c r="DD182" s="162"/>
      <c r="DE182" s="162"/>
      <c r="DF182" s="162"/>
      <c r="DG182" s="162"/>
      <c r="DH182" s="162"/>
      <c r="DI182" s="162"/>
      <c r="DJ182" s="162"/>
      <c r="DK182" s="162"/>
      <c r="DL182" s="162"/>
      <c r="DM182" s="162"/>
      <c r="DN182" s="162"/>
      <c r="DO182" s="162"/>
      <c r="DP182" s="163"/>
      <c r="DQ182" s="140"/>
      <c r="DR182" s="156"/>
      <c r="DS182" s="157"/>
      <c r="DT182" s="158"/>
      <c r="DU182" s="158"/>
      <c r="DV182" s="159"/>
      <c r="DW182" s="160"/>
      <c r="DX182" s="160"/>
      <c r="DY182" s="162"/>
      <c r="DZ182" s="162"/>
      <c r="EA182" s="162"/>
      <c r="EB182" s="162"/>
      <c r="EC182" s="162"/>
      <c r="ED182" s="162"/>
      <c r="EE182" s="162"/>
      <c r="EF182" s="162"/>
      <c r="EG182" s="162"/>
      <c r="EH182" s="162"/>
      <c r="EI182" s="162"/>
      <c r="EJ182" s="162"/>
      <c r="EK182" s="162"/>
      <c r="EL182" s="162"/>
      <c r="EM182" s="162"/>
      <c r="EN182" s="163"/>
      <c r="EO182" s="140"/>
      <c r="EP182" s="156"/>
      <c r="EQ182" s="157"/>
      <c r="ER182" s="158"/>
      <c r="ES182" s="158"/>
      <c r="ET182" s="159"/>
      <c r="EU182" s="160"/>
      <c r="EV182" s="160"/>
      <c r="EW182" s="162"/>
      <c r="EX182" s="162"/>
      <c r="EY182" s="162"/>
      <c r="EZ182" s="162"/>
      <c r="FA182" s="162"/>
      <c r="FB182" s="162"/>
      <c r="FC182" s="162"/>
      <c r="FD182" s="162"/>
      <c r="FE182" s="162"/>
      <c r="FF182" s="162"/>
      <c r="FG182" s="162"/>
      <c r="FH182" s="162"/>
      <c r="FI182" s="162"/>
      <c r="FJ182" s="162"/>
      <c r="FK182" s="162"/>
      <c r="FL182" s="163"/>
      <c r="FM182" s="140"/>
      <c r="FN182" s="156"/>
      <c r="FO182" s="157"/>
      <c r="FP182" s="158"/>
      <c r="FQ182" s="158"/>
      <c r="FR182" s="159"/>
      <c r="FS182" s="160"/>
      <c r="FT182" s="160"/>
      <c r="FU182" s="162"/>
      <c r="FV182" s="162"/>
      <c r="FW182" s="162"/>
      <c r="FX182" s="162"/>
      <c r="FY182" s="162"/>
      <c r="FZ182" s="162"/>
      <c r="GA182" s="162"/>
      <c r="GB182" s="162"/>
      <c r="GC182" s="162"/>
      <c r="GD182" s="162"/>
      <c r="GE182" s="162"/>
      <c r="GF182" s="162"/>
      <c r="GG182" s="162"/>
      <c r="GH182" s="162"/>
      <c r="GI182" s="162"/>
      <c r="GJ182" s="163"/>
      <c r="GK182" s="140"/>
      <c r="GL182" s="156"/>
      <c r="GM182" s="157"/>
      <c r="GN182" s="158"/>
      <c r="GO182" s="158"/>
      <c r="GP182" s="159"/>
      <c r="GQ182" s="160"/>
      <c r="GR182" s="160"/>
      <c r="GS182" s="162"/>
      <c r="GT182" s="162"/>
      <c r="GU182" s="162"/>
      <c r="GV182" s="162"/>
      <c r="GW182" s="162"/>
      <c r="GX182" s="162"/>
      <c r="GY182" s="162"/>
      <c r="GZ182" s="162"/>
      <c r="HA182" s="162"/>
      <c r="HB182" s="162"/>
      <c r="HC182" s="162"/>
      <c r="HD182" s="162"/>
      <c r="HE182" s="162"/>
      <c r="HF182" s="162"/>
      <c r="HG182" s="162"/>
      <c r="HH182" s="163"/>
      <c r="HI182" s="140"/>
      <c r="HJ182" s="156"/>
      <c r="HK182" s="157"/>
      <c r="HL182" s="158"/>
      <c r="HM182" s="158"/>
      <c r="HN182" s="159"/>
      <c r="HO182" s="160"/>
      <c r="HP182" s="160"/>
      <c r="HQ182" s="162"/>
      <c r="HR182" s="162"/>
      <c r="HS182" s="162"/>
      <c r="HT182" s="162"/>
      <c r="HU182" s="162"/>
      <c r="HV182" s="162"/>
      <c r="HW182" s="162"/>
      <c r="HX182" s="162"/>
      <c r="HY182" s="162"/>
      <c r="HZ182" s="162"/>
      <c r="IA182" s="162"/>
      <c r="IB182" s="162"/>
      <c r="IC182" s="162"/>
      <c r="ID182" s="162"/>
      <c r="IE182" s="162"/>
      <c r="IF182" s="163"/>
      <c r="IG182" s="140"/>
      <c r="IH182" s="156"/>
      <c r="II182" s="157"/>
      <c r="IJ182" s="158"/>
      <c r="IK182" s="158"/>
      <c r="IL182" s="159"/>
      <c r="IM182" s="160"/>
      <c r="IN182" s="160"/>
      <c r="IO182" s="162"/>
      <c r="IP182" s="162"/>
      <c r="IQ182" s="162"/>
      <c r="IR182" s="162"/>
      <c r="IS182" s="162"/>
      <c r="IT182" s="162"/>
      <c r="IU182" s="162"/>
      <c r="IV182" s="162"/>
    </row>
    <row r="183" spans="1:256" s="141" customFormat="1" ht="30" x14ac:dyDescent="0.25">
      <c r="A183" s="138">
        <v>17.100000000000001</v>
      </c>
      <c r="B183" s="165" t="s">
        <v>414</v>
      </c>
      <c r="C183" s="110">
        <v>7020020</v>
      </c>
      <c r="D183" s="43" t="s">
        <v>114</v>
      </c>
      <c r="E183" s="43"/>
      <c r="F183" s="11">
        <v>362</v>
      </c>
      <c r="G183" s="81" t="s">
        <v>22</v>
      </c>
      <c r="H183" s="129">
        <v>12</v>
      </c>
      <c r="I183" s="151">
        <v>98231552</v>
      </c>
      <c r="J183" s="174" t="s">
        <v>432</v>
      </c>
      <c r="K183" s="55">
        <v>14913.15</v>
      </c>
      <c r="L183" s="55"/>
      <c r="M183" s="55"/>
      <c r="N183" s="80" t="s">
        <v>448</v>
      </c>
      <c r="O183" s="55"/>
      <c r="P183" s="83">
        <v>12</v>
      </c>
      <c r="Q183" s="83">
        <v>14913.15</v>
      </c>
      <c r="R183" s="83"/>
      <c r="S183" s="83"/>
      <c r="T183" s="83"/>
      <c r="U183" s="83"/>
      <c r="V183" s="83"/>
      <c r="W183" s="83"/>
      <c r="X183" s="167"/>
      <c r="Y183" s="168"/>
      <c r="Z183" s="168"/>
      <c r="AA183" s="168"/>
      <c r="AB183" s="168"/>
      <c r="AC183" s="168"/>
      <c r="AD183" s="168"/>
      <c r="AE183" s="168"/>
    </row>
    <row r="184" spans="1:256" s="141" customFormat="1" ht="30" x14ac:dyDescent="0.25">
      <c r="A184" s="138">
        <v>17.2</v>
      </c>
      <c r="B184" s="165" t="s">
        <v>414</v>
      </c>
      <c r="C184" s="110">
        <v>7020020</v>
      </c>
      <c r="D184" s="195" t="s">
        <v>128</v>
      </c>
      <c r="E184" s="195"/>
      <c r="F184" s="11">
        <v>362</v>
      </c>
      <c r="G184" s="81" t="s">
        <v>22</v>
      </c>
      <c r="H184" s="129">
        <v>12</v>
      </c>
      <c r="I184" s="151">
        <v>98218501</v>
      </c>
      <c r="J184" s="174" t="s">
        <v>434</v>
      </c>
      <c r="K184" s="55">
        <v>36643.199999999997</v>
      </c>
      <c r="L184" s="55"/>
      <c r="M184" s="55"/>
      <c r="N184" s="80" t="s">
        <v>448</v>
      </c>
      <c r="O184" s="55"/>
      <c r="P184" s="83">
        <v>12</v>
      </c>
      <c r="Q184" s="83">
        <v>36643.199999999997</v>
      </c>
      <c r="R184" s="83"/>
      <c r="S184" s="83"/>
      <c r="T184" s="83"/>
      <c r="U184" s="83"/>
      <c r="V184" s="83"/>
      <c r="W184" s="83"/>
      <c r="X184" s="167"/>
      <c r="Y184" s="168"/>
      <c r="Z184" s="168"/>
      <c r="AA184" s="168"/>
      <c r="AB184" s="168"/>
      <c r="AC184" s="168"/>
      <c r="AD184" s="168"/>
      <c r="AE184" s="168"/>
    </row>
    <row r="185" spans="1:256" s="141" customFormat="1" ht="30" x14ac:dyDescent="0.25">
      <c r="A185" s="138">
        <v>17.3</v>
      </c>
      <c r="B185" s="165" t="s">
        <v>414</v>
      </c>
      <c r="C185" s="110">
        <v>7020020</v>
      </c>
      <c r="D185" s="195" t="s">
        <v>120</v>
      </c>
      <c r="E185" s="195"/>
      <c r="F185" s="11">
        <v>362</v>
      </c>
      <c r="G185" s="81" t="s">
        <v>22</v>
      </c>
      <c r="H185" s="129">
        <v>12</v>
      </c>
      <c r="I185" s="151">
        <v>98229</v>
      </c>
      <c r="J185" s="174" t="s">
        <v>439</v>
      </c>
      <c r="K185" s="55">
        <v>5094.6720000000005</v>
      </c>
      <c r="L185" s="55"/>
      <c r="M185" s="55"/>
      <c r="N185" s="80" t="s">
        <v>448</v>
      </c>
      <c r="O185" s="55"/>
      <c r="P185" s="83">
        <v>12</v>
      </c>
      <c r="Q185" s="83">
        <v>5094.6720000000005</v>
      </c>
      <c r="R185" s="83"/>
      <c r="S185" s="83"/>
      <c r="T185" s="83"/>
      <c r="U185" s="83"/>
      <c r="V185" s="83"/>
      <c r="W185" s="83"/>
      <c r="X185" s="167"/>
      <c r="Y185" s="168"/>
      <c r="Z185" s="168"/>
      <c r="AA185" s="168"/>
      <c r="AB185" s="168"/>
      <c r="AC185" s="168"/>
      <c r="AD185" s="168"/>
      <c r="AE185" s="168"/>
    </row>
    <row r="186" spans="1:256" s="141" customFormat="1" ht="30" x14ac:dyDescent="0.25">
      <c r="A186" s="138">
        <v>17.5</v>
      </c>
      <c r="B186" s="165" t="s">
        <v>414</v>
      </c>
      <c r="C186" s="110">
        <v>7020020</v>
      </c>
      <c r="D186" s="195" t="s">
        <v>121</v>
      </c>
      <c r="E186" s="195"/>
      <c r="F186" s="11">
        <v>362</v>
      </c>
      <c r="G186" s="81" t="s">
        <v>22</v>
      </c>
      <c r="H186" s="129">
        <v>12</v>
      </c>
      <c r="I186" s="151">
        <v>98404</v>
      </c>
      <c r="J186" s="174" t="s">
        <v>440</v>
      </c>
      <c r="K186" s="55">
        <v>164738.08319999999</v>
      </c>
      <c r="L186" s="55"/>
      <c r="M186" s="55"/>
      <c r="N186" s="80" t="s">
        <v>448</v>
      </c>
      <c r="O186" s="55"/>
      <c r="P186" s="83">
        <v>12</v>
      </c>
      <c r="Q186" s="83">
        <v>164738.08319999999</v>
      </c>
      <c r="R186" s="83"/>
      <c r="S186" s="83"/>
      <c r="T186" s="83"/>
      <c r="U186" s="83"/>
      <c r="V186" s="83"/>
      <c r="W186" s="83"/>
      <c r="X186" s="167"/>
      <c r="Y186" s="168"/>
      <c r="Z186" s="168"/>
      <c r="AA186" s="168"/>
      <c r="AB186" s="168"/>
      <c r="AC186" s="168"/>
      <c r="AD186" s="168"/>
      <c r="AE186" s="168"/>
    </row>
    <row r="187" spans="1:256" s="141" customFormat="1" ht="30" x14ac:dyDescent="0.25">
      <c r="A187" s="138">
        <v>17.600000000000001</v>
      </c>
      <c r="B187" s="165" t="s">
        <v>414</v>
      </c>
      <c r="C187" s="110">
        <v>7020020</v>
      </c>
      <c r="D187" s="195" t="s">
        <v>122</v>
      </c>
      <c r="E187" s="195"/>
      <c r="F187" s="11">
        <v>362</v>
      </c>
      <c r="G187" s="81" t="s">
        <v>22</v>
      </c>
      <c r="H187" s="129">
        <v>12</v>
      </c>
      <c r="I187" s="151">
        <v>98406</v>
      </c>
      <c r="J187" s="174" t="s">
        <v>441</v>
      </c>
      <c r="K187" s="55">
        <v>59619.01</v>
      </c>
      <c r="L187" s="55"/>
      <c r="M187" s="55"/>
      <c r="N187" s="80" t="s">
        <v>448</v>
      </c>
      <c r="O187" s="55"/>
      <c r="P187" s="83">
        <v>12</v>
      </c>
      <c r="Q187" s="83">
        <v>59619.01</v>
      </c>
      <c r="R187" s="83"/>
      <c r="S187" s="83"/>
      <c r="T187" s="83"/>
      <c r="U187" s="83"/>
      <c r="V187" s="83"/>
      <c r="W187" s="83"/>
      <c r="X187" s="167"/>
      <c r="Y187" s="168"/>
      <c r="Z187" s="168"/>
      <c r="AA187" s="168"/>
      <c r="AB187" s="168"/>
      <c r="AC187" s="168"/>
      <c r="AD187" s="168"/>
      <c r="AE187" s="168"/>
    </row>
    <row r="188" spans="1:256" s="141" customFormat="1" ht="30" x14ac:dyDescent="0.25">
      <c r="A188" s="138">
        <v>17.7</v>
      </c>
      <c r="B188" s="165" t="s">
        <v>414</v>
      </c>
      <c r="C188" s="110">
        <v>7020020</v>
      </c>
      <c r="D188" s="195" t="s">
        <v>123</v>
      </c>
      <c r="E188" s="195"/>
      <c r="F188" s="11">
        <v>362</v>
      </c>
      <c r="G188" s="81" t="s">
        <v>22</v>
      </c>
      <c r="H188" s="129">
        <v>12</v>
      </c>
      <c r="I188" s="151">
        <v>98237551</v>
      </c>
      <c r="J188" s="174" t="s">
        <v>445</v>
      </c>
      <c r="K188" s="55">
        <v>42.511099999999999</v>
      </c>
      <c r="L188" s="55"/>
      <c r="M188" s="55"/>
      <c r="N188" s="80" t="s">
        <v>448</v>
      </c>
      <c r="O188" s="55"/>
      <c r="P188" s="83">
        <v>12</v>
      </c>
      <c r="Q188" s="83">
        <v>42.511099999999999</v>
      </c>
      <c r="R188" s="83"/>
      <c r="S188" s="83"/>
      <c r="T188" s="83"/>
      <c r="U188" s="83"/>
      <c r="V188" s="83"/>
      <c r="W188" s="83"/>
      <c r="X188" s="167"/>
      <c r="Y188" s="168"/>
      <c r="Z188" s="168"/>
      <c r="AA188" s="168"/>
      <c r="AB188" s="168"/>
      <c r="AC188" s="168"/>
      <c r="AD188" s="168"/>
      <c r="AE188" s="168"/>
    </row>
    <row r="189" spans="1:256" s="141" customFormat="1" ht="30" x14ac:dyDescent="0.25">
      <c r="A189" s="138">
        <v>17.8</v>
      </c>
      <c r="B189" s="165" t="s">
        <v>414</v>
      </c>
      <c r="C189" s="110">
        <v>7020020</v>
      </c>
      <c r="D189" s="195" t="s">
        <v>124</v>
      </c>
      <c r="E189" s="195"/>
      <c r="F189" s="11">
        <v>362</v>
      </c>
      <c r="G189" s="81" t="s">
        <v>22</v>
      </c>
      <c r="H189" s="129">
        <v>12</v>
      </c>
      <c r="I189" s="151">
        <v>98231509</v>
      </c>
      <c r="J189" s="174" t="s">
        <v>443</v>
      </c>
      <c r="K189" s="55">
        <v>27688.188000000002</v>
      </c>
      <c r="L189" s="55"/>
      <c r="M189" s="55"/>
      <c r="N189" s="80" t="s">
        <v>448</v>
      </c>
      <c r="O189" s="55"/>
      <c r="P189" s="83">
        <v>12</v>
      </c>
      <c r="Q189" s="83">
        <v>27688.188000000002</v>
      </c>
      <c r="R189" s="83"/>
      <c r="S189" s="83"/>
      <c r="T189" s="83"/>
      <c r="U189" s="83"/>
      <c r="V189" s="83"/>
      <c r="W189" s="83"/>
      <c r="X189" s="167"/>
      <c r="Y189" s="168"/>
      <c r="Z189" s="168"/>
      <c r="AA189" s="168"/>
      <c r="AB189" s="168"/>
      <c r="AC189" s="168"/>
      <c r="AD189" s="168"/>
      <c r="AE189" s="168"/>
    </row>
    <row r="190" spans="1:256" s="141" customFormat="1" ht="30" x14ac:dyDescent="0.25">
      <c r="A190" s="138">
        <v>17.899999999999999</v>
      </c>
      <c r="B190" s="165" t="s">
        <v>414</v>
      </c>
      <c r="C190" s="110">
        <v>7020020</v>
      </c>
      <c r="D190" s="195" t="s">
        <v>126</v>
      </c>
      <c r="E190" s="195"/>
      <c r="F190" s="11">
        <v>362</v>
      </c>
      <c r="G190" s="81" t="s">
        <v>22</v>
      </c>
      <c r="H190" s="129">
        <v>12</v>
      </c>
      <c r="I190" s="151">
        <v>98401</v>
      </c>
      <c r="J190" s="174" t="s">
        <v>429</v>
      </c>
      <c r="K190" s="55">
        <v>3426406</v>
      </c>
      <c r="L190" s="55"/>
      <c r="M190" s="55"/>
      <c r="N190" s="80" t="s">
        <v>448</v>
      </c>
      <c r="O190" s="55"/>
      <c r="P190" s="83">
        <v>12</v>
      </c>
      <c r="Q190" s="83">
        <v>1876406</v>
      </c>
      <c r="R190" s="83"/>
      <c r="S190" s="83"/>
      <c r="T190" s="83"/>
      <c r="U190" s="83"/>
      <c r="V190" s="83">
        <v>12</v>
      </c>
      <c r="W190" s="83">
        <v>1550000</v>
      </c>
      <c r="X190" s="167"/>
      <c r="Y190" s="168"/>
      <c r="Z190" s="168"/>
      <c r="AA190" s="168"/>
      <c r="AB190" s="168"/>
      <c r="AC190" s="168"/>
      <c r="AD190" s="168"/>
      <c r="AE190" s="168"/>
    </row>
    <row r="191" spans="1:256" s="141" customFormat="1" x14ac:dyDescent="0.25">
      <c r="A191" s="138"/>
      <c r="B191" s="165"/>
      <c r="C191" s="110"/>
      <c r="D191" s="195"/>
      <c r="E191" s="196"/>
      <c r="F191" s="11"/>
      <c r="G191" s="54"/>
      <c r="H191" s="54"/>
      <c r="I191" s="153"/>
      <c r="J191" s="55"/>
      <c r="K191" s="52">
        <v>3735144.8143000002</v>
      </c>
      <c r="L191" s="52"/>
      <c r="M191" s="52"/>
      <c r="N191" s="52"/>
      <c r="O191" s="52"/>
      <c r="P191" s="83"/>
      <c r="Q191" s="52">
        <v>2185144.8143000002</v>
      </c>
      <c r="R191" s="83"/>
      <c r="S191" s="52"/>
      <c r="T191" s="83"/>
      <c r="U191" s="52"/>
      <c r="V191" s="83"/>
      <c r="W191" s="52">
        <v>1550000</v>
      </c>
      <c r="X191" s="167"/>
      <c r="Y191" s="168"/>
      <c r="Z191" s="168"/>
      <c r="AA191" s="168"/>
      <c r="AB191" s="168"/>
      <c r="AC191" s="168"/>
      <c r="AD191" s="168"/>
      <c r="AE191" s="168"/>
    </row>
    <row r="192" spans="1:256" s="164" customFormat="1" ht="14.25" x14ac:dyDescent="0.2">
      <c r="A192" s="140">
        <v>18</v>
      </c>
      <c r="B192" s="156"/>
      <c r="C192" s="157"/>
      <c r="D192" s="158" t="s">
        <v>135</v>
      </c>
      <c r="E192" s="158"/>
      <c r="F192" s="159"/>
      <c r="G192" s="160"/>
      <c r="H192" s="160"/>
      <c r="I192" s="161"/>
      <c r="J192" s="162"/>
      <c r="K192" s="162"/>
      <c r="L192" s="162"/>
      <c r="M192" s="162"/>
      <c r="N192" s="162"/>
      <c r="O192" s="162"/>
      <c r="P192" s="162"/>
      <c r="Q192" s="162"/>
      <c r="R192" s="162"/>
      <c r="S192" s="162"/>
      <c r="T192" s="162"/>
      <c r="U192" s="162"/>
      <c r="V192" s="162"/>
      <c r="W192" s="162"/>
      <c r="X192" s="163"/>
      <c r="Y192" s="140"/>
      <c r="Z192" s="156"/>
      <c r="AA192" s="157"/>
      <c r="AB192" s="158"/>
      <c r="AC192" s="158"/>
      <c r="AD192" s="159"/>
      <c r="AE192" s="160"/>
      <c r="AF192" s="160"/>
      <c r="AG192" s="162"/>
      <c r="AH192" s="162"/>
      <c r="AI192" s="162"/>
      <c r="AJ192" s="162"/>
      <c r="AK192" s="162"/>
      <c r="AL192" s="162"/>
      <c r="AM192" s="162"/>
      <c r="AN192" s="162"/>
      <c r="AO192" s="162"/>
      <c r="AP192" s="162"/>
      <c r="AQ192" s="162"/>
      <c r="AR192" s="162"/>
      <c r="AS192" s="162"/>
      <c r="AT192" s="162"/>
      <c r="AU192" s="162"/>
      <c r="AV192" s="163"/>
      <c r="AW192" s="140"/>
      <c r="AX192" s="156"/>
      <c r="AY192" s="157"/>
      <c r="AZ192" s="158"/>
      <c r="BA192" s="158"/>
      <c r="BB192" s="159"/>
      <c r="BC192" s="160"/>
      <c r="BD192" s="160"/>
      <c r="BE192" s="162"/>
      <c r="BF192" s="162"/>
      <c r="BG192" s="162"/>
      <c r="BH192" s="162"/>
      <c r="BI192" s="162"/>
      <c r="BJ192" s="162"/>
      <c r="BK192" s="162"/>
      <c r="BL192" s="162"/>
      <c r="BM192" s="162"/>
      <c r="BN192" s="162"/>
      <c r="BO192" s="162"/>
      <c r="BP192" s="162"/>
      <c r="BQ192" s="162"/>
      <c r="BR192" s="162"/>
      <c r="BS192" s="162"/>
      <c r="BT192" s="163"/>
      <c r="BU192" s="140"/>
      <c r="BV192" s="156"/>
      <c r="BW192" s="157"/>
      <c r="BX192" s="158"/>
      <c r="BY192" s="158"/>
      <c r="BZ192" s="159"/>
      <c r="CA192" s="160"/>
      <c r="CB192" s="160"/>
      <c r="CC192" s="162"/>
      <c r="CD192" s="162"/>
      <c r="CE192" s="162"/>
      <c r="CF192" s="162"/>
      <c r="CG192" s="162"/>
      <c r="CH192" s="162"/>
      <c r="CI192" s="162"/>
      <c r="CJ192" s="162"/>
      <c r="CK192" s="162"/>
      <c r="CL192" s="162"/>
      <c r="CM192" s="162"/>
      <c r="CN192" s="162"/>
      <c r="CO192" s="162"/>
      <c r="CP192" s="162"/>
      <c r="CQ192" s="162"/>
      <c r="CR192" s="163"/>
      <c r="CS192" s="140"/>
      <c r="CT192" s="156"/>
      <c r="CU192" s="157"/>
      <c r="CV192" s="158"/>
      <c r="CW192" s="158"/>
      <c r="CX192" s="159"/>
      <c r="CY192" s="160"/>
      <c r="CZ192" s="160"/>
      <c r="DA192" s="162"/>
      <c r="DB192" s="162"/>
      <c r="DC192" s="162"/>
      <c r="DD192" s="162"/>
      <c r="DE192" s="162"/>
      <c r="DF192" s="162"/>
      <c r="DG192" s="162"/>
      <c r="DH192" s="162"/>
      <c r="DI192" s="162"/>
      <c r="DJ192" s="162"/>
      <c r="DK192" s="162"/>
      <c r="DL192" s="162"/>
      <c r="DM192" s="162"/>
      <c r="DN192" s="162"/>
      <c r="DO192" s="162"/>
      <c r="DP192" s="163"/>
      <c r="DQ192" s="140"/>
      <c r="DR192" s="156"/>
      <c r="DS192" s="157"/>
      <c r="DT192" s="158"/>
      <c r="DU192" s="158"/>
      <c r="DV192" s="159"/>
      <c r="DW192" s="160"/>
      <c r="DX192" s="160"/>
      <c r="DY192" s="162"/>
      <c r="DZ192" s="162"/>
      <c r="EA192" s="162"/>
      <c r="EB192" s="162"/>
      <c r="EC192" s="162"/>
      <c r="ED192" s="162"/>
      <c r="EE192" s="162"/>
      <c r="EF192" s="162"/>
      <c r="EG192" s="162"/>
      <c r="EH192" s="162"/>
      <c r="EI192" s="162"/>
      <c r="EJ192" s="162"/>
      <c r="EK192" s="162"/>
      <c r="EL192" s="162"/>
      <c r="EM192" s="162"/>
      <c r="EN192" s="163"/>
      <c r="EO192" s="140"/>
      <c r="EP192" s="156"/>
      <c r="EQ192" s="157"/>
      <c r="ER192" s="158"/>
      <c r="ES192" s="158"/>
      <c r="ET192" s="159"/>
      <c r="EU192" s="160"/>
      <c r="EV192" s="160"/>
      <c r="EW192" s="162"/>
      <c r="EX192" s="162"/>
      <c r="EY192" s="162"/>
      <c r="EZ192" s="162"/>
      <c r="FA192" s="162"/>
      <c r="FB192" s="162"/>
      <c r="FC192" s="162"/>
      <c r="FD192" s="162"/>
      <c r="FE192" s="162"/>
      <c r="FF192" s="162"/>
      <c r="FG192" s="162"/>
      <c r="FH192" s="162"/>
      <c r="FI192" s="162"/>
      <c r="FJ192" s="162"/>
      <c r="FK192" s="162"/>
      <c r="FL192" s="163"/>
      <c r="FM192" s="140"/>
      <c r="FN192" s="156"/>
      <c r="FO192" s="157"/>
      <c r="FP192" s="158"/>
      <c r="FQ192" s="158"/>
      <c r="FR192" s="159"/>
      <c r="FS192" s="160"/>
      <c r="FT192" s="160"/>
      <c r="FU192" s="162"/>
      <c r="FV192" s="162"/>
      <c r="FW192" s="162"/>
      <c r="FX192" s="162"/>
      <c r="FY192" s="162"/>
      <c r="FZ192" s="162"/>
      <c r="GA192" s="162"/>
      <c r="GB192" s="162"/>
      <c r="GC192" s="162"/>
      <c r="GD192" s="162"/>
      <c r="GE192" s="162"/>
      <c r="GF192" s="162"/>
      <c r="GG192" s="162"/>
      <c r="GH192" s="162"/>
      <c r="GI192" s="162"/>
      <c r="GJ192" s="163"/>
      <c r="GK192" s="140"/>
      <c r="GL192" s="156"/>
      <c r="GM192" s="157"/>
      <c r="GN192" s="158"/>
      <c r="GO192" s="158"/>
      <c r="GP192" s="159"/>
      <c r="GQ192" s="160"/>
      <c r="GR192" s="160"/>
      <c r="GS192" s="162"/>
      <c r="GT192" s="162"/>
      <c r="GU192" s="162"/>
      <c r="GV192" s="162"/>
      <c r="GW192" s="162"/>
      <c r="GX192" s="162"/>
      <c r="GY192" s="162"/>
      <c r="GZ192" s="162"/>
      <c r="HA192" s="162"/>
      <c r="HB192" s="162"/>
      <c r="HC192" s="162"/>
      <c r="HD192" s="162"/>
      <c r="HE192" s="162"/>
      <c r="HF192" s="162"/>
      <c r="HG192" s="162"/>
      <c r="HH192" s="163"/>
      <c r="HI192" s="140"/>
      <c r="HJ192" s="156"/>
      <c r="HK192" s="157"/>
      <c r="HL192" s="158"/>
      <c r="HM192" s="158"/>
      <c r="HN192" s="159"/>
      <c r="HO192" s="160"/>
      <c r="HP192" s="160"/>
      <c r="HQ192" s="162"/>
      <c r="HR192" s="162"/>
      <c r="HS192" s="162"/>
      <c r="HT192" s="162"/>
      <c r="HU192" s="162"/>
      <c r="HV192" s="162"/>
      <c r="HW192" s="162"/>
      <c r="HX192" s="162"/>
      <c r="HY192" s="162"/>
      <c r="HZ192" s="162"/>
      <c r="IA192" s="162"/>
      <c r="IB192" s="162"/>
      <c r="IC192" s="162"/>
      <c r="ID192" s="162"/>
      <c r="IE192" s="162"/>
      <c r="IF192" s="163"/>
      <c r="IG192" s="140"/>
      <c r="IH192" s="156"/>
      <c r="II192" s="157"/>
      <c r="IJ192" s="158"/>
      <c r="IK192" s="158"/>
      <c r="IL192" s="159"/>
      <c r="IM192" s="160"/>
      <c r="IN192" s="160"/>
      <c r="IO192" s="162"/>
      <c r="IP192" s="162"/>
      <c r="IQ192" s="162"/>
      <c r="IR192" s="162"/>
      <c r="IS192" s="162"/>
      <c r="IT192" s="162"/>
      <c r="IU192" s="162"/>
      <c r="IV192" s="162"/>
    </row>
    <row r="193" spans="1:31" s="141" customFormat="1" ht="30" x14ac:dyDescent="0.25">
      <c r="A193" s="138">
        <v>18.100000000000001</v>
      </c>
      <c r="B193" s="165" t="s">
        <v>409</v>
      </c>
      <c r="C193" s="110">
        <v>4010000</v>
      </c>
      <c r="D193" s="43" t="s">
        <v>114</v>
      </c>
      <c r="E193" s="43"/>
      <c r="F193" s="11">
        <v>245</v>
      </c>
      <c r="G193" s="81" t="s">
        <v>464</v>
      </c>
      <c r="H193" s="129">
        <v>12</v>
      </c>
      <c r="I193" s="151">
        <v>98231552</v>
      </c>
      <c r="J193" s="174" t="s">
        <v>432</v>
      </c>
      <c r="K193" s="55">
        <v>17006.515800000001</v>
      </c>
      <c r="L193" s="55"/>
      <c r="M193" s="55"/>
      <c r="N193" s="80" t="s">
        <v>448</v>
      </c>
      <c r="O193" s="55"/>
      <c r="P193" s="83">
        <v>12</v>
      </c>
      <c r="Q193" s="83">
        <v>17006.515800000001</v>
      </c>
      <c r="R193" s="83"/>
      <c r="S193" s="83"/>
      <c r="T193" s="83"/>
      <c r="U193" s="83"/>
      <c r="V193" s="83"/>
      <c r="W193" s="83"/>
      <c r="X193" s="167"/>
      <c r="Y193" s="168"/>
      <c r="Z193" s="168"/>
      <c r="AA193" s="168"/>
      <c r="AB193" s="168"/>
      <c r="AC193" s="168"/>
      <c r="AD193" s="168"/>
      <c r="AE193" s="168"/>
    </row>
    <row r="194" spans="1:31" s="141" customFormat="1" ht="30" x14ac:dyDescent="0.25">
      <c r="A194" s="138">
        <v>18.2</v>
      </c>
      <c r="B194" s="165" t="s">
        <v>409</v>
      </c>
      <c r="C194" s="110">
        <v>4010000</v>
      </c>
      <c r="D194" s="195" t="s">
        <v>115</v>
      </c>
      <c r="E194" s="195"/>
      <c r="F194" s="11">
        <v>245</v>
      </c>
      <c r="G194" s="81" t="s">
        <v>464</v>
      </c>
      <c r="H194" s="129">
        <v>12</v>
      </c>
      <c r="I194" s="151">
        <v>98201551</v>
      </c>
      <c r="J194" s="174" t="s">
        <v>433</v>
      </c>
      <c r="K194" s="55">
        <v>25250.832768</v>
      </c>
      <c r="L194" s="55"/>
      <c r="M194" s="55"/>
      <c r="N194" s="80" t="s">
        <v>448</v>
      </c>
      <c r="O194" s="55"/>
      <c r="P194" s="83">
        <v>12</v>
      </c>
      <c r="Q194" s="83">
        <v>25250.832768</v>
      </c>
      <c r="R194" s="83"/>
      <c r="S194" s="83"/>
      <c r="T194" s="83"/>
      <c r="U194" s="83"/>
      <c r="V194" s="83"/>
      <c r="W194" s="83"/>
      <c r="X194" s="167"/>
      <c r="Y194" s="168"/>
      <c r="Z194" s="168"/>
      <c r="AA194" s="168"/>
      <c r="AB194" s="168"/>
      <c r="AC194" s="168"/>
      <c r="AD194" s="168"/>
      <c r="AE194" s="168"/>
    </row>
    <row r="195" spans="1:31" s="141" customFormat="1" ht="30" x14ac:dyDescent="0.25">
      <c r="A195" s="138">
        <v>18.3</v>
      </c>
      <c r="B195" s="165" t="s">
        <v>409</v>
      </c>
      <c r="C195" s="110">
        <v>4010000</v>
      </c>
      <c r="D195" s="195" t="s">
        <v>128</v>
      </c>
      <c r="E195" s="195"/>
      <c r="F195" s="11">
        <v>245</v>
      </c>
      <c r="G195" s="81" t="s">
        <v>464</v>
      </c>
      <c r="H195" s="129">
        <v>12</v>
      </c>
      <c r="I195" s="151">
        <v>98218501</v>
      </c>
      <c r="J195" s="174" t="s">
        <v>434</v>
      </c>
      <c r="K195" s="55">
        <v>8302.7032553046629</v>
      </c>
      <c r="L195" s="55"/>
      <c r="M195" s="55"/>
      <c r="N195" s="80" t="s">
        <v>448</v>
      </c>
      <c r="O195" s="55"/>
      <c r="P195" s="83">
        <v>12</v>
      </c>
      <c r="Q195" s="83">
        <v>8302.7032553046629</v>
      </c>
      <c r="R195" s="83"/>
      <c r="S195" s="83"/>
      <c r="T195" s="83"/>
      <c r="U195" s="83"/>
      <c r="V195" s="83"/>
      <c r="W195" s="83"/>
      <c r="X195" s="167"/>
      <c r="Y195" s="168"/>
      <c r="Z195" s="168"/>
      <c r="AA195" s="168"/>
      <c r="AB195" s="168"/>
      <c r="AC195" s="168"/>
      <c r="AD195" s="168"/>
      <c r="AE195" s="168"/>
    </row>
    <row r="196" spans="1:31" s="141" customFormat="1" ht="30" x14ac:dyDescent="0.25">
      <c r="A196" s="138">
        <v>18.399999999999999</v>
      </c>
      <c r="B196" s="165" t="s">
        <v>409</v>
      </c>
      <c r="C196" s="110">
        <v>4010000</v>
      </c>
      <c r="D196" s="195" t="s">
        <v>118</v>
      </c>
      <c r="E196" s="195"/>
      <c r="F196" s="11">
        <v>245</v>
      </c>
      <c r="G196" s="81" t="s">
        <v>464</v>
      </c>
      <c r="H196" s="129">
        <v>12</v>
      </c>
      <c r="I196" s="151">
        <v>98224551</v>
      </c>
      <c r="J196" s="174" t="s">
        <v>436</v>
      </c>
      <c r="K196" s="55">
        <v>7995.8532000000005</v>
      </c>
      <c r="L196" s="55"/>
      <c r="M196" s="55"/>
      <c r="N196" s="80" t="s">
        <v>448</v>
      </c>
      <c r="O196" s="55"/>
      <c r="P196" s="83">
        <v>12</v>
      </c>
      <c r="Q196" s="83">
        <v>7995.8532000000005</v>
      </c>
      <c r="R196" s="83"/>
      <c r="S196" s="83"/>
      <c r="T196" s="83"/>
      <c r="U196" s="83"/>
      <c r="V196" s="83"/>
      <c r="W196" s="83"/>
      <c r="X196" s="167"/>
      <c r="Y196" s="168"/>
      <c r="Z196" s="168"/>
      <c r="AA196" s="168"/>
      <c r="AB196" s="168"/>
      <c r="AC196" s="168"/>
      <c r="AD196" s="168"/>
      <c r="AE196" s="168"/>
    </row>
    <row r="197" spans="1:31" s="141" customFormat="1" ht="30" x14ac:dyDescent="0.25">
      <c r="A197" s="138">
        <v>18.600000000000001</v>
      </c>
      <c r="B197" s="165" t="s">
        <v>409</v>
      </c>
      <c r="C197" s="110">
        <v>4010000</v>
      </c>
      <c r="D197" s="195" t="s">
        <v>119</v>
      </c>
      <c r="E197" s="195"/>
      <c r="F197" s="11">
        <v>245</v>
      </c>
      <c r="G197" s="81" t="s">
        <v>464</v>
      </c>
      <c r="H197" s="129">
        <v>12</v>
      </c>
      <c r="I197" s="151">
        <v>98227501</v>
      </c>
      <c r="J197" s="174" t="s">
        <v>430</v>
      </c>
      <c r="K197" s="55">
        <v>87251.662700000001</v>
      </c>
      <c r="L197" s="55"/>
      <c r="M197" s="55"/>
      <c r="N197" s="80" t="s">
        <v>448</v>
      </c>
      <c r="O197" s="55"/>
      <c r="P197" s="83">
        <v>12</v>
      </c>
      <c r="Q197" s="83">
        <v>87251.662700000001</v>
      </c>
      <c r="R197" s="83"/>
      <c r="S197" s="83"/>
      <c r="T197" s="83"/>
      <c r="U197" s="83"/>
      <c r="V197" s="83"/>
      <c r="W197" s="83"/>
      <c r="X197" s="167"/>
      <c r="Y197" s="168"/>
      <c r="Z197" s="168"/>
      <c r="AA197" s="168"/>
      <c r="AB197" s="168"/>
      <c r="AC197" s="168"/>
      <c r="AD197" s="168"/>
      <c r="AE197" s="168"/>
    </row>
    <row r="198" spans="1:31" s="141" customFormat="1" ht="30" x14ac:dyDescent="0.25">
      <c r="A198" s="138">
        <v>18.7</v>
      </c>
      <c r="B198" s="165" t="s">
        <v>409</v>
      </c>
      <c r="C198" s="110">
        <v>4010000</v>
      </c>
      <c r="D198" s="195" t="s">
        <v>120</v>
      </c>
      <c r="E198" s="195"/>
      <c r="F198" s="11">
        <v>245</v>
      </c>
      <c r="G198" s="81" t="s">
        <v>464</v>
      </c>
      <c r="H198" s="129">
        <v>12</v>
      </c>
      <c r="I198" s="151">
        <v>98229</v>
      </c>
      <c r="J198" s="174" t="s">
        <v>439</v>
      </c>
      <c r="K198" s="55">
        <v>58822.682900000007</v>
      </c>
      <c r="L198" s="55"/>
      <c r="M198" s="55"/>
      <c r="N198" s="80" t="s">
        <v>448</v>
      </c>
      <c r="O198" s="55"/>
      <c r="P198" s="83">
        <v>12</v>
      </c>
      <c r="Q198" s="83">
        <v>58822.682900000007</v>
      </c>
      <c r="R198" s="83"/>
      <c r="S198" s="83"/>
      <c r="T198" s="83"/>
      <c r="U198" s="83"/>
      <c r="V198" s="83"/>
      <c r="W198" s="83"/>
      <c r="X198" s="167"/>
      <c r="Y198" s="168"/>
      <c r="Z198" s="168"/>
      <c r="AA198" s="168"/>
      <c r="AB198" s="168"/>
      <c r="AC198" s="168"/>
      <c r="AD198" s="168"/>
      <c r="AE198" s="168"/>
    </row>
    <row r="199" spans="1:31" s="141" customFormat="1" ht="30" x14ac:dyDescent="0.25">
      <c r="A199" s="138">
        <v>18.8</v>
      </c>
      <c r="B199" s="165" t="s">
        <v>409</v>
      </c>
      <c r="C199" s="110">
        <v>4010000</v>
      </c>
      <c r="D199" s="195" t="s">
        <v>121</v>
      </c>
      <c r="E199" s="195"/>
      <c r="F199" s="11">
        <v>245</v>
      </c>
      <c r="G199" s="81" t="s">
        <v>464</v>
      </c>
      <c r="H199" s="129">
        <v>12</v>
      </c>
      <c r="I199" s="151">
        <v>98404</v>
      </c>
      <c r="J199" s="174" t="s">
        <v>440</v>
      </c>
      <c r="K199" s="55">
        <v>50592.173999999999</v>
      </c>
      <c r="L199" s="55"/>
      <c r="M199" s="55"/>
      <c r="N199" s="80" t="s">
        <v>448</v>
      </c>
      <c r="O199" s="55"/>
      <c r="P199" s="83">
        <v>12</v>
      </c>
      <c r="Q199" s="83">
        <v>50592.173999999999</v>
      </c>
      <c r="R199" s="83"/>
      <c r="S199" s="83"/>
      <c r="T199" s="83"/>
      <c r="U199" s="83"/>
      <c r="V199" s="83"/>
      <c r="W199" s="83"/>
      <c r="X199" s="167"/>
      <c r="Y199" s="168"/>
      <c r="Z199" s="168"/>
      <c r="AA199" s="168"/>
      <c r="AB199" s="168"/>
      <c r="AC199" s="168"/>
      <c r="AD199" s="168"/>
      <c r="AE199" s="168"/>
    </row>
    <row r="200" spans="1:31" s="141" customFormat="1" ht="30" x14ac:dyDescent="0.25">
      <c r="A200" s="138">
        <v>18.899999999999999</v>
      </c>
      <c r="B200" s="165" t="s">
        <v>409</v>
      </c>
      <c r="C200" s="110">
        <v>4010000</v>
      </c>
      <c r="D200" s="195" t="s">
        <v>122</v>
      </c>
      <c r="E200" s="195"/>
      <c r="F200" s="11">
        <v>245</v>
      </c>
      <c r="G200" s="81" t="s">
        <v>464</v>
      </c>
      <c r="H200" s="129">
        <v>12</v>
      </c>
      <c r="I200" s="151">
        <v>98406</v>
      </c>
      <c r="J200" s="174" t="s">
        <v>441</v>
      </c>
      <c r="K200" s="55">
        <v>64484.866100000007</v>
      </c>
      <c r="L200" s="55"/>
      <c r="M200" s="55"/>
      <c r="N200" s="80" t="s">
        <v>448</v>
      </c>
      <c r="O200" s="55"/>
      <c r="P200" s="83">
        <v>12</v>
      </c>
      <c r="Q200" s="83">
        <v>64484.866100000007</v>
      </c>
      <c r="R200" s="83"/>
      <c r="S200" s="83"/>
      <c r="T200" s="83"/>
      <c r="U200" s="83"/>
      <c r="V200" s="83"/>
      <c r="W200" s="83"/>
      <c r="X200" s="167"/>
      <c r="Y200" s="168"/>
      <c r="Z200" s="168"/>
      <c r="AA200" s="168"/>
      <c r="AB200" s="168"/>
      <c r="AC200" s="168"/>
      <c r="AD200" s="168"/>
      <c r="AE200" s="168"/>
    </row>
    <row r="201" spans="1:31" s="141" customFormat="1" ht="30" x14ac:dyDescent="0.25">
      <c r="A201" s="138">
        <v>18.100000000000001</v>
      </c>
      <c r="B201" s="165" t="s">
        <v>409</v>
      </c>
      <c r="C201" s="110">
        <v>4010000</v>
      </c>
      <c r="D201" s="195" t="s">
        <v>123</v>
      </c>
      <c r="E201" s="195"/>
      <c r="F201" s="11">
        <v>245</v>
      </c>
      <c r="G201" s="81" t="s">
        <v>464</v>
      </c>
      <c r="H201" s="129">
        <v>12</v>
      </c>
      <c r="I201" s="151">
        <v>98237551</v>
      </c>
      <c r="J201" s="174" t="s">
        <v>445</v>
      </c>
      <c r="K201" s="55">
        <v>22384</v>
      </c>
      <c r="L201" s="55"/>
      <c r="M201" s="55"/>
      <c r="N201" s="80" t="s">
        <v>448</v>
      </c>
      <c r="O201" s="55"/>
      <c r="P201" s="83">
        <v>12</v>
      </c>
      <c r="Q201" s="83">
        <v>22384</v>
      </c>
      <c r="R201" s="83"/>
      <c r="S201" s="83"/>
      <c r="T201" s="83"/>
      <c r="U201" s="83"/>
      <c r="V201" s="83"/>
      <c r="W201" s="83"/>
      <c r="X201" s="167"/>
      <c r="Y201" s="168"/>
      <c r="Z201" s="168"/>
      <c r="AA201" s="168"/>
      <c r="AB201" s="168"/>
      <c r="AC201" s="168"/>
      <c r="AD201" s="168"/>
      <c r="AE201" s="168"/>
    </row>
    <row r="202" spans="1:31" s="141" customFormat="1" ht="30" x14ac:dyDescent="0.25">
      <c r="A202" s="138">
        <v>18.11</v>
      </c>
      <c r="B202" s="165" t="s">
        <v>409</v>
      </c>
      <c r="C202" s="110">
        <v>4010000</v>
      </c>
      <c r="D202" s="195" t="s">
        <v>129</v>
      </c>
      <c r="E202" s="195"/>
      <c r="F202" s="11">
        <v>245</v>
      </c>
      <c r="G202" s="81" t="s">
        <v>464</v>
      </c>
      <c r="H202" s="129">
        <v>12</v>
      </c>
      <c r="I202" s="151">
        <v>98241501</v>
      </c>
      <c r="J202" s="24" t="s">
        <v>456</v>
      </c>
      <c r="K202" s="55">
        <v>9414.9</v>
      </c>
      <c r="L202" s="55"/>
      <c r="M202" s="55"/>
      <c r="N202" s="80" t="s">
        <v>448</v>
      </c>
      <c r="O202" s="55"/>
      <c r="P202" s="83">
        <v>12</v>
      </c>
      <c r="Q202" s="83">
        <v>9414.9</v>
      </c>
      <c r="R202" s="83"/>
      <c r="S202" s="83"/>
      <c r="T202" s="83"/>
      <c r="U202" s="83"/>
      <c r="V202" s="83"/>
      <c r="W202" s="83"/>
      <c r="X202" s="167"/>
      <c r="Y202" s="168"/>
      <c r="Z202" s="168"/>
      <c r="AA202" s="168"/>
      <c r="AB202" s="168"/>
      <c r="AC202" s="168"/>
      <c r="AD202" s="168"/>
      <c r="AE202" s="168"/>
    </row>
    <row r="203" spans="1:31" s="141" customFormat="1" ht="30" x14ac:dyDescent="0.25">
      <c r="A203" s="138">
        <v>18.12</v>
      </c>
      <c r="B203" s="165" t="s">
        <v>409</v>
      </c>
      <c r="C203" s="110">
        <v>4010000</v>
      </c>
      <c r="D203" s="195" t="s">
        <v>130</v>
      </c>
      <c r="E203" s="195"/>
      <c r="F203" s="11">
        <v>245</v>
      </c>
      <c r="G203" s="81" t="s">
        <v>464</v>
      </c>
      <c r="H203" s="129">
        <v>12</v>
      </c>
      <c r="I203" s="152">
        <v>98242</v>
      </c>
      <c r="J203" s="174" t="s">
        <v>446</v>
      </c>
      <c r="K203" s="55">
        <v>6487.1237000000001</v>
      </c>
      <c r="L203" s="55"/>
      <c r="M203" s="55"/>
      <c r="N203" s="80" t="s">
        <v>448</v>
      </c>
      <c r="O203" s="55"/>
      <c r="P203" s="83">
        <v>12</v>
      </c>
      <c r="Q203" s="83">
        <v>6487.1237000000001</v>
      </c>
      <c r="R203" s="83"/>
      <c r="S203" s="83"/>
      <c r="T203" s="83"/>
      <c r="U203" s="83"/>
      <c r="V203" s="83"/>
      <c r="W203" s="83"/>
      <c r="X203" s="167"/>
      <c r="Y203" s="168"/>
      <c r="Z203" s="168"/>
      <c r="AA203" s="168"/>
      <c r="AB203" s="168"/>
      <c r="AC203" s="168"/>
      <c r="AD203" s="168"/>
      <c r="AE203" s="168"/>
    </row>
    <row r="204" spans="1:31" s="141" customFormat="1" ht="30" x14ac:dyDescent="0.25">
      <c r="A204" s="138">
        <v>18.13</v>
      </c>
      <c r="B204" s="165" t="s">
        <v>409</v>
      </c>
      <c r="C204" s="110">
        <v>4010000</v>
      </c>
      <c r="D204" s="195" t="s">
        <v>131</v>
      </c>
      <c r="E204" s="195"/>
      <c r="F204" s="11">
        <v>245</v>
      </c>
      <c r="G204" s="81" t="s">
        <v>464</v>
      </c>
      <c r="H204" s="129">
        <v>12</v>
      </c>
      <c r="I204" s="152">
        <v>98248</v>
      </c>
      <c r="J204" s="83" t="s">
        <v>444</v>
      </c>
      <c r="K204" s="55">
        <v>25094.556258896388</v>
      </c>
      <c r="L204" s="55"/>
      <c r="M204" s="55"/>
      <c r="N204" s="80" t="s">
        <v>448</v>
      </c>
      <c r="O204" s="55"/>
      <c r="P204" s="83">
        <v>12</v>
      </c>
      <c r="Q204" s="83">
        <v>25094.556258896388</v>
      </c>
      <c r="R204" s="83"/>
      <c r="S204" s="83"/>
      <c r="T204" s="83"/>
      <c r="U204" s="83"/>
      <c r="V204" s="83"/>
      <c r="W204" s="83"/>
      <c r="X204" s="167"/>
      <c r="Y204" s="168"/>
      <c r="Z204" s="168"/>
      <c r="AA204" s="168"/>
      <c r="AB204" s="168"/>
      <c r="AC204" s="168"/>
      <c r="AD204" s="168"/>
      <c r="AE204" s="168"/>
    </row>
    <row r="205" spans="1:31" s="141" customFormat="1" ht="30" x14ac:dyDescent="0.25">
      <c r="A205" s="138">
        <v>18.14</v>
      </c>
      <c r="B205" s="165" t="s">
        <v>409</v>
      </c>
      <c r="C205" s="110">
        <v>4010000</v>
      </c>
      <c r="D205" s="195" t="s">
        <v>132</v>
      </c>
      <c r="E205" s="195"/>
      <c r="F205" s="11">
        <v>245</v>
      </c>
      <c r="G205" s="81" t="s">
        <v>464</v>
      </c>
      <c r="H205" s="129">
        <v>12</v>
      </c>
      <c r="I205" s="151">
        <v>98204</v>
      </c>
      <c r="J205" s="83" t="s">
        <v>431</v>
      </c>
      <c r="K205" s="55">
        <v>11450.4766</v>
      </c>
      <c r="L205" s="55"/>
      <c r="M205" s="55"/>
      <c r="N205" s="80" t="s">
        <v>448</v>
      </c>
      <c r="O205" s="55"/>
      <c r="P205" s="83">
        <v>12</v>
      </c>
      <c r="Q205" s="83">
        <v>11450.4766</v>
      </c>
      <c r="R205" s="83"/>
      <c r="S205" s="83"/>
      <c r="T205" s="83"/>
      <c r="U205" s="83"/>
      <c r="V205" s="83"/>
      <c r="W205" s="83"/>
      <c r="X205" s="167"/>
      <c r="Y205" s="168"/>
      <c r="Z205" s="168"/>
      <c r="AA205" s="168"/>
      <c r="AB205" s="168"/>
      <c r="AC205" s="168"/>
      <c r="AD205" s="168"/>
      <c r="AE205" s="168"/>
    </row>
    <row r="206" spans="1:31" s="141" customFormat="1" ht="30" x14ac:dyDescent="0.25">
      <c r="A206" s="138">
        <v>18.149999999999999</v>
      </c>
      <c r="B206" s="165" t="s">
        <v>409</v>
      </c>
      <c r="C206" s="110">
        <v>4010000</v>
      </c>
      <c r="D206" s="195" t="s">
        <v>125</v>
      </c>
      <c r="E206" s="195"/>
      <c r="F206" s="11">
        <v>245</v>
      </c>
      <c r="G206" s="81" t="s">
        <v>464</v>
      </c>
      <c r="H206" s="129">
        <v>12</v>
      </c>
      <c r="I206" s="151">
        <v>98254551</v>
      </c>
      <c r="J206" s="24" t="s">
        <v>442</v>
      </c>
      <c r="K206" s="55">
        <v>20099.027999999998</v>
      </c>
      <c r="L206" s="55"/>
      <c r="M206" s="55"/>
      <c r="N206" s="80" t="s">
        <v>448</v>
      </c>
      <c r="O206" s="55"/>
      <c r="P206" s="83">
        <v>12</v>
      </c>
      <c r="Q206" s="83">
        <v>20099.027999999998</v>
      </c>
      <c r="R206" s="83"/>
      <c r="S206" s="83"/>
      <c r="T206" s="83"/>
      <c r="U206" s="83"/>
      <c r="V206" s="83"/>
      <c r="W206" s="83"/>
      <c r="X206" s="167"/>
      <c r="Y206" s="168"/>
      <c r="Z206" s="168"/>
      <c r="AA206" s="168"/>
      <c r="AB206" s="168"/>
      <c r="AC206" s="168"/>
      <c r="AD206" s="168"/>
      <c r="AE206" s="168"/>
    </row>
    <row r="207" spans="1:31" s="141" customFormat="1" ht="30" x14ac:dyDescent="0.25">
      <c r="A207" s="138">
        <v>18.16</v>
      </c>
      <c r="B207" s="165" t="s">
        <v>409</v>
      </c>
      <c r="C207" s="110">
        <v>4010000</v>
      </c>
      <c r="D207" s="195" t="s">
        <v>124</v>
      </c>
      <c r="E207" s="195"/>
      <c r="F207" s="11">
        <v>245</v>
      </c>
      <c r="G207" s="81" t="s">
        <v>464</v>
      </c>
      <c r="H207" s="129">
        <v>12</v>
      </c>
      <c r="I207" s="151">
        <v>98231509</v>
      </c>
      <c r="J207" s="174" t="s">
        <v>443</v>
      </c>
      <c r="K207" s="55">
        <v>12269.264999999999</v>
      </c>
      <c r="L207" s="55"/>
      <c r="M207" s="55"/>
      <c r="N207" s="80" t="s">
        <v>448</v>
      </c>
      <c r="O207" s="55"/>
      <c r="P207" s="83">
        <v>12</v>
      </c>
      <c r="Q207" s="83">
        <v>12269.264999999999</v>
      </c>
      <c r="R207" s="83"/>
      <c r="S207" s="83"/>
      <c r="T207" s="83"/>
      <c r="U207" s="83"/>
      <c r="V207" s="83"/>
      <c r="W207" s="83"/>
      <c r="X207" s="167"/>
      <c r="Y207" s="168"/>
      <c r="Z207" s="168"/>
      <c r="AA207" s="168"/>
      <c r="AB207" s="168"/>
      <c r="AC207" s="168"/>
      <c r="AD207" s="168"/>
      <c r="AE207" s="168"/>
    </row>
    <row r="208" spans="1:31" s="141" customFormat="1" ht="45" x14ac:dyDescent="0.25">
      <c r="A208" s="138">
        <v>18.170000000000002</v>
      </c>
      <c r="B208" s="165" t="s">
        <v>409</v>
      </c>
      <c r="C208" s="110">
        <v>4010000</v>
      </c>
      <c r="D208" s="195" t="s">
        <v>133</v>
      </c>
      <c r="E208" s="195"/>
      <c r="F208" s="11">
        <v>245</v>
      </c>
      <c r="G208" s="81" t="s">
        <v>464</v>
      </c>
      <c r="H208" s="129">
        <v>12</v>
      </c>
      <c r="I208" s="151">
        <v>98258</v>
      </c>
      <c r="J208" s="83" t="s">
        <v>435</v>
      </c>
      <c r="K208" s="55">
        <v>14605.609400000001</v>
      </c>
      <c r="L208" s="55"/>
      <c r="M208" s="55"/>
      <c r="N208" s="80" t="s">
        <v>448</v>
      </c>
      <c r="O208" s="55"/>
      <c r="P208" s="83">
        <v>12</v>
      </c>
      <c r="Q208" s="83">
        <v>14605.609400000001</v>
      </c>
      <c r="R208" s="83"/>
      <c r="S208" s="83"/>
      <c r="T208" s="83"/>
      <c r="U208" s="83"/>
      <c r="V208" s="83"/>
      <c r="W208" s="83"/>
      <c r="X208" s="167"/>
      <c r="Y208" s="168"/>
      <c r="Z208" s="168"/>
      <c r="AA208" s="168"/>
      <c r="AB208" s="168"/>
      <c r="AC208" s="168"/>
      <c r="AD208" s="168"/>
      <c r="AE208" s="168"/>
    </row>
    <row r="209" spans="1:256" s="141" customFormat="1" ht="30" x14ac:dyDescent="0.25">
      <c r="A209" s="138">
        <v>18.18</v>
      </c>
      <c r="B209" s="165" t="s">
        <v>409</v>
      </c>
      <c r="C209" s="110">
        <v>4010000</v>
      </c>
      <c r="D209" s="195" t="s">
        <v>126</v>
      </c>
      <c r="E209" s="195"/>
      <c r="F209" s="11">
        <v>245</v>
      </c>
      <c r="G209" s="81" t="s">
        <v>464</v>
      </c>
      <c r="H209" s="129">
        <v>12</v>
      </c>
      <c r="I209" s="151">
        <v>98401</v>
      </c>
      <c r="J209" s="174" t="s">
        <v>429</v>
      </c>
      <c r="K209" s="55">
        <v>1146006.6355674234</v>
      </c>
      <c r="L209" s="55"/>
      <c r="M209" s="55"/>
      <c r="N209" s="80" t="s">
        <v>448</v>
      </c>
      <c r="O209" s="55"/>
      <c r="P209" s="83">
        <v>12</v>
      </c>
      <c r="Q209" s="83">
        <v>1146006.6355674234</v>
      </c>
      <c r="R209" s="83"/>
      <c r="S209" s="83"/>
      <c r="T209" s="83"/>
      <c r="U209" s="83"/>
      <c r="V209" s="83"/>
      <c r="W209" s="83"/>
      <c r="X209" s="167"/>
      <c r="Y209" s="168"/>
      <c r="Z209" s="168"/>
      <c r="AA209" s="168"/>
      <c r="AB209" s="168"/>
      <c r="AC209" s="168"/>
      <c r="AD209" s="168"/>
      <c r="AE209" s="168"/>
    </row>
    <row r="210" spans="1:256" s="141" customFormat="1" x14ac:dyDescent="0.25">
      <c r="A210" s="138"/>
      <c r="B210" s="165"/>
      <c r="C210" s="110"/>
      <c r="D210" s="195"/>
      <c r="E210" s="196"/>
      <c r="F210" s="115"/>
      <c r="G210" s="54"/>
      <c r="H210" s="54"/>
      <c r="I210" s="153"/>
      <c r="J210" s="55"/>
      <c r="K210" s="52">
        <v>1587518.8852496245</v>
      </c>
      <c r="L210" s="52"/>
      <c r="M210" s="52"/>
      <c r="N210" s="52"/>
      <c r="O210" s="52"/>
      <c r="P210" s="83"/>
      <c r="Q210" s="52">
        <v>1587518.8852496245</v>
      </c>
      <c r="R210" s="83"/>
      <c r="S210" s="52"/>
      <c r="T210" s="83"/>
      <c r="U210" s="52"/>
      <c r="V210" s="83"/>
      <c r="W210" s="52"/>
      <c r="X210" s="167"/>
      <c r="Y210" s="168"/>
      <c r="Z210" s="168"/>
      <c r="AA210" s="168"/>
      <c r="AB210" s="168"/>
      <c r="AC210" s="168"/>
      <c r="AD210" s="168"/>
      <c r="AE210" s="168"/>
    </row>
    <row r="211" spans="1:256" s="164" customFormat="1" ht="14.25" x14ac:dyDescent="0.2">
      <c r="A211" s="140">
        <v>19</v>
      </c>
      <c r="B211" s="156"/>
      <c r="C211" s="157"/>
      <c r="D211" s="158" t="s">
        <v>136</v>
      </c>
      <c r="E211" s="158"/>
      <c r="F211" s="159"/>
      <c r="G211" s="160"/>
      <c r="H211" s="160"/>
      <c r="I211" s="161"/>
      <c r="J211" s="162"/>
      <c r="K211" s="162"/>
      <c r="L211" s="162"/>
      <c r="M211" s="162"/>
      <c r="N211" s="162"/>
      <c r="O211" s="162"/>
      <c r="P211" s="162"/>
      <c r="Q211" s="162"/>
      <c r="R211" s="162"/>
      <c r="S211" s="162"/>
      <c r="T211" s="162"/>
      <c r="U211" s="162"/>
      <c r="V211" s="162"/>
      <c r="W211" s="162"/>
      <c r="X211" s="163"/>
      <c r="Y211" s="140"/>
      <c r="Z211" s="156"/>
      <c r="AA211" s="157"/>
      <c r="AB211" s="158"/>
      <c r="AC211" s="158"/>
      <c r="AD211" s="159"/>
      <c r="AE211" s="160"/>
      <c r="AF211" s="160"/>
      <c r="AG211" s="162"/>
      <c r="AH211" s="162"/>
      <c r="AI211" s="162"/>
      <c r="AJ211" s="162"/>
      <c r="AK211" s="162"/>
      <c r="AL211" s="162"/>
      <c r="AM211" s="162"/>
      <c r="AN211" s="162"/>
      <c r="AO211" s="162"/>
      <c r="AP211" s="162"/>
      <c r="AQ211" s="162"/>
      <c r="AR211" s="162"/>
      <c r="AS211" s="162"/>
      <c r="AT211" s="162"/>
      <c r="AU211" s="162"/>
      <c r="AV211" s="163"/>
      <c r="AW211" s="140"/>
      <c r="AX211" s="156"/>
      <c r="AY211" s="157"/>
      <c r="AZ211" s="158"/>
      <c r="BA211" s="158"/>
      <c r="BB211" s="159"/>
      <c r="BC211" s="160"/>
      <c r="BD211" s="160"/>
      <c r="BE211" s="162"/>
      <c r="BF211" s="162"/>
      <c r="BG211" s="162"/>
      <c r="BH211" s="162"/>
      <c r="BI211" s="162"/>
      <c r="BJ211" s="162"/>
      <c r="BK211" s="162"/>
      <c r="BL211" s="162"/>
      <c r="BM211" s="162"/>
      <c r="BN211" s="162"/>
      <c r="BO211" s="162"/>
      <c r="BP211" s="162"/>
      <c r="BQ211" s="162"/>
      <c r="BR211" s="162"/>
      <c r="BS211" s="162"/>
      <c r="BT211" s="163"/>
      <c r="BU211" s="140"/>
      <c r="BV211" s="156"/>
      <c r="BW211" s="157"/>
      <c r="BX211" s="158"/>
      <c r="BY211" s="158"/>
      <c r="BZ211" s="159"/>
      <c r="CA211" s="160"/>
      <c r="CB211" s="160"/>
      <c r="CC211" s="162"/>
      <c r="CD211" s="162"/>
      <c r="CE211" s="162"/>
      <c r="CF211" s="162"/>
      <c r="CG211" s="162"/>
      <c r="CH211" s="162"/>
      <c r="CI211" s="162"/>
      <c r="CJ211" s="162"/>
      <c r="CK211" s="162"/>
      <c r="CL211" s="162"/>
      <c r="CM211" s="162"/>
      <c r="CN211" s="162"/>
      <c r="CO211" s="162"/>
      <c r="CP211" s="162"/>
      <c r="CQ211" s="162"/>
      <c r="CR211" s="163"/>
      <c r="CS211" s="140"/>
      <c r="CT211" s="156"/>
      <c r="CU211" s="157"/>
      <c r="CV211" s="158"/>
      <c r="CW211" s="158"/>
      <c r="CX211" s="159"/>
      <c r="CY211" s="160"/>
      <c r="CZ211" s="160"/>
      <c r="DA211" s="162"/>
      <c r="DB211" s="162"/>
      <c r="DC211" s="162"/>
      <c r="DD211" s="162"/>
      <c r="DE211" s="162"/>
      <c r="DF211" s="162"/>
      <c r="DG211" s="162"/>
      <c r="DH211" s="162"/>
      <c r="DI211" s="162"/>
      <c r="DJ211" s="162"/>
      <c r="DK211" s="162"/>
      <c r="DL211" s="162"/>
      <c r="DM211" s="162"/>
      <c r="DN211" s="162"/>
      <c r="DO211" s="162"/>
      <c r="DP211" s="163"/>
      <c r="DQ211" s="140"/>
      <c r="DR211" s="156"/>
      <c r="DS211" s="157"/>
      <c r="DT211" s="158"/>
      <c r="DU211" s="158"/>
      <c r="DV211" s="159"/>
      <c r="DW211" s="160"/>
      <c r="DX211" s="160"/>
      <c r="DY211" s="162"/>
      <c r="DZ211" s="162"/>
      <c r="EA211" s="162"/>
      <c r="EB211" s="162"/>
      <c r="EC211" s="162"/>
      <c r="ED211" s="162"/>
      <c r="EE211" s="162"/>
      <c r="EF211" s="162"/>
      <c r="EG211" s="162"/>
      <c r="EH211" s="162"/>
      <c r="EI211" s="162"/>
      <c r="EJ211" s="162"/>
      <c r="EK211" s="162"/>
      <c r="EL211" s="162"/>
      <c r="EM211" s="162"/>
      <c r="EN211" s="163"/>
      <c r="EO211" s="140"/>
      <c r="EP211" s="156"/>
      <c r="EQ211" s="157"/>
      <c r="ER211" s="158"/>
      <c r="ES211" s="158"/>
      <c r="ET211" s="159"/>
      <c r="EU211" s="160"/>
      <c r="EV211" s="160"/>
      <c r="EW211" s="162"/>
      <c r="EX211" s="162"/>
      <c r="EY211" s="162"/>
      <c r="EZ211" s="162"/>
      <c r="FA211" s="162"/>
      <c r="FB211" s="162"/>
      <c r="FC211" s="162"/>
      <c r="FD211" s="162"/>
      <c r="FE211" s="162"/>
      <c r="FF211" s="162"/>
      <c r="FG211" s="162"/>
      <c r="FH211" s="162"/>
      <c r="FI211" s="162"/>
      <c r="FJ211" s="162"/>
      <c r="FK211" s="162"/>
      <c r="FL211" s="163"/>
      <c r="FM211" s="140"/>
      <c r="FN211" s="156"/>
      <c r="FO211" s="157"/>
      <c r="FP211" s="158"/>
      <c r="FQ211" s="158"/>
      <c r="FR211" s="159"/>
      <c r="FS211" s="160"/>
      <c r="FT211" s="160"/>
      <c r="FU211" s="162"/>
      <c r="FV211" s="162"/>
      <c r="FW211" s="162"/>
      <c r="FX211" s="162"/>
      <c r="FY211" s="162"/>
      <c r="FZ211" s="162"/>
      <c r="GA211" s="162"/>
      <c r="GB211" s="162"/>
      <c r="GC211" s="162"/>
      <c r="GD211" s="162"/>
      <c r="GE211" s="162"/>
      <c r="GF211" s="162"/>
      <c r="GG211" s="162"/>
      <c r="GH211" s="162"/>
      <c r="GI211" s="162"/>
      <c r="GJ211" s="163"/>
      <c r="GK211" s="140"/>
      <c r="GL211" s="156"/>
      <c r="GM211" s="157"/>
      <c r="GN211" s="158"/>
      <c r="GO211" s="158"/>
      <c r="GP211" s="159"/>
      <c r="GQ211" s="160"/>
      <c r="GR211" s="160"/>
      <c r="GS211" s="162"/>
      <c r="GT211" s="162"/>
      <c r="GU211" s="162"/>
      <c r="GV211" s="162"/>
      <c r="GW211" s="162"/>
      <c r="GX211" s="162"/>
      <c r="GY211" s="162"/>
      <c r="GZ211" s="162"/>
      <c r="HA211" s="162"/>
      <c r="HB211" s="162"/>
      <c r="HC211" s="162"/>
      <c r="HD211" s="162"/>
      <c r="HE211" s="162"/>
      <c r="HF211" s="162"/>
      <c r="HG211" s="162"/>
      <c r="HH211" s="163"/>
      <c r="HI211" s="140"/>
      <c r="HJ211" s="156"/>
      <c r="HK211" s="157"/>
      <c r="HL211" s="158"/>
      <c r="HM211" s="158"/>
      <c r="HN211" s="159"/>
      <c r="HO211" s="160"/>
      <c r="HP211" s="160"/>
      <c r="HQ211" s="162"/>
      <c r="HR211" s="162"/>
      <c r="HS211" s="162"/>
      <c r="HT211" s="162"/>
      <c r="HU211" s="162"/>
      <c r="HV211" s="162"/>
      <c r="HW211" s="162"/>
      <c r="HX211" s="162"/>
      <c r="HY211" s="162"/>
      <c r="HZ211" s="162"/>
      <c r="IA211" s="162"/>
      <c r="IB211" s="162"/>
      <c r="IC211" s="162"/>
      <c r="ID211" s="162"/>
      <c r="IE211" s="162"/>
      <c r="IF211" s="163"/>
      <c r="IG211" s="140"/>
      <c r="IH211" s="156"/>
      <c r="II211" s="157"/>
      <c r="IJ211" s="158"/>
      <c r="IK211" s="158"/>
      <c r="IL211" s="159"/>
      <c r="IM211" s="160"/>
      <c r="IN211" s="160"/>
      <c r="IO211" s="162"/>
      <c r="IP211" s="162"/>
      <c r="IQ211" s="162"/>
      <c r="IR211" s="162"/>
      <c r="IS211" s="162"/>
      <c r="IT211" s="162"/>
      <c r="IU211" s="162"/>
      <c r="IV211" s="162"/>
    </row>
    <row r="212" spans="1:256" s="141" customFormat="1" x14ac:dyDescent="0.25">
      <c r="A212" s="138">
        <v>19.100000000000001</v>
      </c>
      <c r="B212" s="165" t="s">
        <v>428</v>
      </c>
      <c r="C212" s="110">
        <v>2929764</v>
      </c>
      <c r="D212" s="80" t="s">
        <v>137</v>
      </c>
      <c r="E212" s="80"/>
      <c r="F212" s="110">
        <v>796</v>
      </c>
      <c r="G212" s="81" t="s">
        <v>17</v>
      </c>
      <c r="H212" s="81">
        <v>1</v>
      </c>
      <c r="I212" s="151">
        <v>98401</v>
      </c>
      <c r="J212" s="83" t="s">
        <v>429</v>
      </c>
      <c r="K212" s="83">
        <v>7950</v>
      </c>
      <c r="L212" s="83"/>
      <c r="M212" s="83"/>
      <c r="N212" s="83"/>
      <c r="O212" s="83"/>
      <c r="P212" s="83">
        <v>1</v>
      </c>
      <c r="Q212" s="83">
        <v>7950</v>
      </c>
      <c r="R212" s="83"/>
      <c r="S212" s="83"/>
      <c r="T212" s="83"/>
      <c r="U212" s="83"/>
      <c r="V212" s="83"/>
      <c r="W212" s="83"/>
      <c r="X212" s="167"/>
      <c r="Y212" s="168"/>
      <c r="Z212" s="168"/>
      <c r="AA212" s="168"/>
      <c r="AB212" s="168"/>
      <c r="AC212" s="168"/>
      <c r="AD212" s="168"/>
      <c r="AE212" s="168"/>
    </row>
    <row r="213" spans="1:256" s="141" customFormat="1" ht="30" x14ac:dyDescent="0.25">
      <c r="A213" s="138">
        <v>19.2</v>
      </c>
      <c r="B213" s="165" t="s">
        <v>428</v>
      </c>
      <c r="C213" s="110">
        <v>2929764</v>
      </c>
      <c r="D213" s="80" t="s">
        <v>138</v>
      </c>
      <c r="E213" s="80"/>
      <c r="F213" s="110">
        <v>796</v>
      </c>
      <c r="G213" s="81" t="s">
        <v>17</v>
      </c>
      <c r="H213" s="81">
        <v>1</v>
      </c>
      <c r="I213" s="151">
        <v>98401</v>
      </c>
      <c r="J213" s="83" t="s">
        <v>429</v>
      </c>
      <c r="K213" s="83">
        <v>14301</v>
      </c>
      <c r="L213" s="83"/>
      <c r="M213" s="83"/>
      <c r="N213" s="83"/>
      <c r="O213" s="83"/>
      <c r="P213" s="83">
        <v>1</v>
      </c>
      <c r="Q213" s="83">
        <v>14301</v>
      </c>
      <c r="R213" s="83"/>
      <c r="S213" s="83"/>
      <c r="T213" s="83"/>
      <c r="U213" s="83"/>
      <c r="V213" s="83"/>
      <c r="W213" s="83"/>
      <c r="X213" s="167"/>
      <c r="Y213" s="168"/>
      <c r="Z213" s="168"/>
      <c r="AA213" s="168"/>
      <c r="AB213" s="168"/>
      <c r="AC213" s="168"/>
      <c r="AD213" s="168"/>
      <c r="AE213" s="168"/>
    </row>
    <row r="214" spans="1:256" s="141" customFormat="1" ht="30" x14ac:dyDescent="0.25">
      <c r="A214" s="138">
        <v>19.3</v>
      </c>
      <c r="B214" s="165" t="s">
        <v>428</v>
      </c>
      <c r="C214" s="110">
        <v>2929764</v>
      </c>
      <c r="D214" s="80" t="s">
        <v>139</v>
      </c>
      <c r="E214" s="80"/>
      <c r="F214" s="110">
        <v>796</v>
      </c>
      <c r="G214" s="81" t="s">
        <v>17</v>
      </c>
      <c r="H214" s="81">
        <v>1</v>
      </c>
      <c r="I214" s="151">
        <v>98401</v>
      </c>
      <c r="J214" s="83" t="s">
        <v>429</v>
      </c>
      <c r="K214" s="83">
        <v>41300</v>
      </c>
      <c r="L214" s="83"/>
      <c r="M214" s="83"/>
      <c r="N214" s="83"/>
      <c r="O214" s="83"/>
      <c r="P214" s="83">
        <v>1</v>
      </c>
      <c r="Q214" s="83">
        <v>41300</v>
      </c>
      <c r="R214" s="83"/>
      <c r="S214" s="83"/>
      <c r="T214" s="83"/>
      <c r="U214" s="83"/>
      <c r="V214" s="83"/>
      <c r="W214" s="83"/>
      <c r="X214" s="167"/>
      <c r="Y214" s="168"/>
      <c r="Z214" s="168"/>
      <c r="AA214" s="168"/>
      <c r="AB214" s="168"/>
      <c r="AC214" s="168"/>
      <c r="AD214" s="168"/>
      <c r="AE214" s="168"/>
    </row>
    <row r="215" spans="1:256" s="141" customFormat="1" x14ac:dyDescent="0.25">
      <c r="A215" s="138">
        <v>19.399999999999999</v>
      </c>
      <c r="B215" s="165" t="s">
        <v>428</v>
      </c>
      <c r="C215" s="110">
        <v>2929764</v>
      </c>
      <c r="D215" s="80" t="s">
        <v>140</v>
      </c>
      <c r="E215" s="80"/>
      <c r="F215" s="110">
        <v>796</v>
      </c>
      <c r="G215" s="81" t="s">
        <v>17</v>
      </c>
      <c r="H215" s="81">
        <v>1</v>
      </c>
      <c r="I215" s="151">
        <v>98401</v>
      </c>
      <c r="J215" s="83" t="s">
        <v>429</v>
      </c>
      <c r="K215" s="83">
        <v>54280</v>
      </c>
      <c r="L215" s="83"/>
      <c r="M215" s="83"/>
      <c r="N215" s="83"/>
      <c r="O215" s="83"/>
      <c r="P215" s="83">
        <v>1</v>
      </c>
      <c r="Q215" s="83">
        <v>54280</v>
      </c>
      <c r="R215" s="83"/>
      <c r="S215" s="83"/>
      <c r="T215" s="83"/>
      <c r="U215" s="83"/>
      <c r="V215" s="83"/>
      <c r="W215" s="83"/>
      <c r="X215" s="167"/>
      <c r="Y215" s="168"/>
      <c r="Z215" s="168"/>
      <c r="AA215" s="168"/>
      <c r="AB215" s="168"/>
      <c r="AC215" s="168"/>
      <c r="AD215" s="168"/>
      <c r="AE215" s="168"/>
    </row>
    <row r="216" spans="1:256" s="141" customFormat="1" x14ac:dyDescent="0.25">
      <c r="A216" s="138">
        <v>19.5</v>
      </c>
      <c r="B216" s="165" t="s">
        <v>428</v>
      </c>
      <c r="C216" s="110">
        <v>2929764</v>
      </c>
      <c r="D216" s="80" t="s">
        <v>141</v>
      </c>
      <c r="E216" s="80"/>
      <c r="F216" s="110">
        <v>796</v>
      </c>
      <c r="G216" s="81" t="s">
        <v>17</v>
      </c>
      <c r="H216" s="81">
        <v>1</v>
      </c>
      <c r="I216" s="151">
        <v>98401</v>
      </c>
      <c r="J216" s="83" t="s">
        <v>429</v>
      </c>
      <c r="K216" s="83">
        <v>138060</v>
      </c>
      <c r="L216" s="83"/>
      <c r="M216" s="83"/>
      <c r="N216" s="83"/>
      <c r="O216" s="83"/>
      <c r="P216" s="83">
        <v>1</v>
      </c>
      <c r="Q216" s="83">
        <v>138060</v>
      </c>
      <c r="R216" s="83"/>
      <c r="S216" s="83"/>
      <c r="T216" s="83"/>
      <c r="U216" s="83"/>
      <c r="V216" s="83"/>
      <c r="W216" s="83"/>
      <c r="X216" s="167"/>
      <c r="Y216" s="168"/>
      <c r="Z216" s="168"/>
      <c r="AA216" s="168"/>
      <c r="AB216" s="168"/>
      <c r="AC216" s="168"/>
      <c r="AD216" s="168"/>
      <c r="AE216" s="168"/>
    </row>
    <row r="217" spans="1:256" s="141" customFormat="1" x14ac:dyDescent="0.25">
      <c r="A217" s="138">
        <v>19.600000000000001</v>
      </c>
      <c r="B217" s="165" t="s">
        <v>428</v>
      </c>
      <c r="C217" s="110">
        <v>2929764</v>
      </c>
      <c r="D217" s="80" t="s">
        <v>142</v>
      </c>
      <c r="E217" s="80"/>
      <c r="F217" s="110">
        <v>796</v>
      </c>
      <c r="G217" s="81" t="s">
        <v>17</v>
      </c>
      <c r="H217" s="81">
        <v>1</v>
      </c>
      <c r="I217" s="151">
        <v>98401</v>
      </c>
      <c r="J217" s="83" t="s">
        <v>429</v>
      </c>
      <c r="K217" s="83">
        <v>215770</v>
      </c>
      <c r="L217" s="83"/>
      <c r="M217" s="83"/>
      <c r="N217" s="83"/>
      <c r="O217" s="83"/>
      <c r="P217" s="83">
        <v>1</v>
      </c>
      <c r="Q217" s="83">
        <v>215770</v>
      </c>
      <c r="R217" s="83"/>
      <c r="S217" s="83"/>
      <c r="T217" s="83"/>
      <c r="U217" s="83"/>
      <c r="V217" s="83"/>
      <c r="W217" s="83"/>
      <c r="X217" s="167"/>
      <c r="Y217" s="168"/>
      <c r="Z217" s="168"/>
      <c r="AA217" s="168"/>
      <c r="AB217" s="168"/>
      <c r="AC217" s="168"/>
      <c r="AD217" s="168"/>
      <c r="AE217" s="168"/>
    </row>
    <row r="218" spans="1:256" s="141" customFormat="1" ht="30" x14ac:dyDescent="0.25">
      <c r="A218" s="138">
        <v>19.7</v>
      </c>
      <c r="B218" s="165" t="s">
        <v>428</v>
      </c>
      <c r="C218" s="110">
        <v>2929764</v>
      </c>
      <c r="D218" s="80" t="s">
        <v>143</v>
      </c>
      <c r="E218" s="80"/>
      <c r="F218" s="110">
        <v>796</v>
      </c>
      <c r="G218" s="81" t="s">
        <v>17</v>
      </c>
      <c r="H218" s="81">
        <v>1</v>
      </c>
      <c r="I218" s="151">
        <v>98401</v>
      </c>
      <c r="J218" s="83" t="s">
        <v>429</v>
      </c>
      <c r="K218" s="83">
        <v>61170</v>
      </c>
      <c r="L218" s="83"/>
      <c r="M218" s="83"/>
      <c r="N218" s="83"/>
      <c r="O218" s="83"/>
      <c r="P218" s="83">
        <v>1</v>
      </c>
      <c r="Q218" s="83">
        <v>61170</v>
      </c>
      <c r="R218" s="83"/>
      <c r="S218" s="83"/>
      <c r="T218" s="83"/>
      <c r="U218" s="83"/>
      <c r="V218" s="83"/>
      <c r="W218" s="83"/>
      <c r="X218" s="167"/>
      <c r="Y218" s="168"/>
      <c r="Z218" s="168"/>
      <c r="AA218" s="168"/>
      <c r="AB218" s="168"/>
      <c r="AC218" s="168"/>
      <c r="AD218" s="168"/>
      <c r="AE218" s="168"/>
    </row>
    <row r="219" spans="1:256" s="141" customFormat="1" x14ac:dyDescent="0.25">
      <c r="A219" s="138">
        <v>19.8</v>
      </c>
      <c r="B219" s="165" t="s">
        <v>428</v>
      </c>
      <c r="C219" s="110">
        <v>2929764</v>
      </c>
      <c r="D219" s="80" t="s">
        <v>144</v>
      </c>
      <c r="E219" s="80"/>
      <c r="F219" s="110">
        <v>796</v>
      </c>
      <c r="G219" s="81" t="s">
        <v>17</v>
      </c>
      <c r="H219" s="81">
        <v>1</v>
      </c>
      <c r="I219" s="151">
        <v>98401</v>
      </c>
      <c r="J219" s="83" t="s">
        <v>429</v>
      </c>
      <c r="K219" s="83">
        <v>11750</v>
      </c>
      <c r="L219" s="83"/>
      <c r="M219" s="83"/>
      <c r="N219" s="83"/>
      <c r="O219" s="83"/>
      <c r="P219" s="83">
        <v>1</v>
      </c>
      <c r="Q219" s="83">
        <v>11750</v>
      </c>
      <c r="R219" s="83"/>
      <c r="S219" s="83"/>
      <c r="T219" s="83"/>
      <c r="U219" s="83"/>
      <c r="V219" s="83"/>
      <c r="W219" s="83"/>
      <c r="X219" s="167"/>
      <c r="Y219" s="168"/>
      <c r="Z219" s="168"/>
      <c r="AA219" s="168"/>
      <c r="AB219" s="168"/>
      <c r="AC219" s="168"/>
      <c r="AD219" s="168"/>
      <c r="AE219" s="168"/>
    </row>
    <row r="220" spans="1:256" s="141" customFormat="1" x14ac:dyDescent="0.25">
      <c r="A220" s="138">
        <v>19.899999999999999</v>
      </c>
      <c r="B220" s="165" t="s">
        <v>428</v>
      </c>
      <c r="C220" s="110">
        <v>2929764</v>
      </c>
      <c r="D220" s="80" t="s">
        <v>145</v>
      </c>
      <c r="E220" s="80"/>
      <c r="F220" s="110">
        <v>796</v>
      </c>
      <c r="G220" s="81" t="s">
        <v>17</v>
      </c>
      <c r="H220" s="81">
        <v>1</v>
      </c>
      <c r="I220" s="151">
        <v>98401</v>
      </c>
      <c r="J220" s="83" t="s">
        <v>429</v>
      </c>
      <c r="K220" s="83">
        <v>14500</v>
      </c>
      <c r="L220" s="83"/>
      <c r="M220" s="83"/>
      <c r="N220" s="83"/>
      <c r="O220" s="83"/>
      <c r="P220" s="83">
        <v>1</v>
      </c>
      <c r="Q220" s="83">
        <v>14500</v>
      </c>
      <c r="R220" s="83"/>
      <c r="S220" s="83"/>
      <c r="T220" s="83"/>
      <c r="U220" s="83"/>
      <c r="V220" s="83"/>
      <c r="W220" s="83"/>
      <c r="X220" s="167"/>
      <c r="Y220" s="168"/>
      <c r="Z220" s="168"/>
      <c r="AA220" s="168"/>
      <c r="AB220" s="168"/>
      <c r="AC220" s="168"/>
      <c r="AD220" s="168"/>
      <c r="AE220" s="168"/>
    </row>
    <row r="221" spans="1:256" s="141" customFormat="1" x14ac:dyDescent="0.25">
      <c r="A221" s="138">
        <v>19.100000000000001</v>
      </c>
      <c r="B221" s="165" t="s">
        <v>428</v>
      </c>
      <c r="C221" s="110">
        <v>2929764</v>
      </c>
      <c r="D221" s="80" t="s">
        <v>146</v>
      </c>
      <c r="E221" s="80"/>
      <c r="F221" s="110">
        <v>796</v>
      </c>
      <c r="G221" s="81" t="s">
        <v>17</v>
      </c>
      <c r="H221" s="81">
        <v>1</v>
      </c>
      <c r="I221" s="151">
        <v>98401</v>
      </c>
      <c r="J221" s="83" t="s">
        <v>429</v>
      </c>
      <c r="K221" s="83">
        <v>201000</v>
      </c>
      <c r="L221" s="83"/>
      <c r="M221" s="83"/>
      <c r="N221" s="83"/>
      <c r="O221" s="83"/>
      <c r="P221" s="83">
        <v>1</v>
      </c>
      <c r="Q221" s="83">
        <v>201000</v>
      </c>
      <c r="R221" s="83"/>
      <c r="S221" s="83"/>
      <c r="T221" s="83"/>
      <c r="U221" s="83"/>
      <c r="V221" s="83"/>
      <c r="W221" s="83"/>
      <c r="X221" s="167"/>
      <c r="Y221" s="168"/>
      <c r="Z221" s="168"/>
      <c r="AA221" s="168"/>
      <c r="AB221" s="168"/>
      <c r="AC221" s="168"/>
      <c r="AD221" s="168"/>
      <c r="AE221" s="168"/>
    </row>
    <row r="222" spans="1:256" s="141" customFormat="1" x14ac:dyDescent="0.25">
      <c r="A222" s="138"/>
      <c r="B222" s="165"/>
      <c r="C222" s="110"/>
      <c r="D222" s="197" t="s">
        <v>18</v>
      </c>
      <c r="E222" s="197"/>
      <c r="F222" s="197"/>
      <c r="G222" s="198"/>
      <c r="H222" s="198"/>
      <c r="I222" s="199"/>
      <c r="J222" s="200"/>
      <c r="K222" s="170">
        <v>760081</v>
      </c>
      <c r="L222" s="170"/>
      <c r="M222" s="170"/>
      <c r="N222" s="170"/>
      <c r="O222" s="170"/>
      <c r="P222" s="83"/>
      <c r="Q222" s="170">
        <v>760081</v>
      </c>
      <c r="R222" s="83"/>
      <c r="S222" s="83"/>
      <c r="T222" s="83"/>
      <c r="U222" s="83"/>
      <c r="V222" s="83"/>
      <c r="W222" s="83"/>
      <c r="X222" s="167"/>
      <c r="Y222" s="168"/>
      <c r="Z222" s="168"/>
      <c r="AA222" s="168"/>
      <c r="AB222" s="168"/>
      <c r="AC222" s="168"/>
      <c r="AD222" s="168"/>
      <c r="AE222" s="168"/>
    </row>
    <row r="223" spans="1:256" s="164" customFormat="1" ht="14.25" x14ac:dyDescent="0.2">
      <c r="A223" s="140">
        <v>20</v>
      </c>
      <c r="B223" s="156"/>
      <c r="C223" s="157"/>
      <c r="D223" s="158" t="s">
        <v>147</v>
      </c>
      <c r="E223" s="158"/>
      <c r="F223" s="159"/>
      <c r="G223" s="160"/>
      <c r="H223" s="160"/>
      <c r="I223" s="161"/>
      <c r="J223" s="162"/>
      <c r="K223" s="162"/>
      <c r="L223" s="162"/>
      <c r="M223" s="162"/>
      <c r="N223" s="162"/>
      <c r="O223" s="162"/>
      <c r="P223" s="162"/>
      <c r="Q223" s="162"/>
      <c r="R223" s="162"/>
      <c r="S223" s="162"/>
      <c r="T223" s="162"/>
      <c r="U223" s="162"/>
      <c r="V223" s="162"/>
      <c r="W223" s="162"/>
      <c r="X223" s="163"/>
      <c r="Y223" s="140"/>
      <c r="Z223" s="156"/>
      <c r="AA223" s="157"/>
      <c r="AB223" s="158"/>
      <c r="AC223" s="158"/>
      <c r="AD223" s="159"/>
      <c r="AE223" s="160"/>
      <c r="AF223" s="160"/>
      <c r="AG223" s="162"/>
      <c r="AH223" s="162"/>
      <c r="AI223" s="162"/>
      <c r="AJ223" s="162"/>
      <c r="AK223" s="162"/>
      <c r="AL223" s="162"/>
      <c r="AM223" s="162"/>
      <c r="AN223" s="162"/>
      <c r="AO223" s="162"/>
      <c r="AP223" s="162"/>
      <c r="AQ223" s="162"/>
      <c r="AR223" s="162"/>
      <c r="AS223" s="162"/>
      <c r="AT223" s="162"/>
      <c r="AU223" s="162"/>
      <c r="AV223" s="163"/>
      <c r="AW223" s="140"/>
      <c r="AX223" s="156"/>
      <c r="AY223" s="157"/>
      <c r="AZ223" s="158"/>
      <c r="BA223" s="158"/>
      <c r="BB223" s="159"/>
      <c r="BC223" s="160"/>
      <c r="BD223" s="160"/>
      <c r="BE223" s="162"/>
      <c r="BF223" s="162"/>
      <c r="BG223" s="162"/>
      <c r="BH223" s="162"/>
      <c r="BI223" s="162"/>
      <c r="BJ223" s="162"/>
      <c r="BK223" s="162"/>
      <c r="BL223" s="162"/>
      <c r="BM223" s="162"/>
      <c r="BN223" s="162"/>
      <c r="BO223" s="162"/>
      <c r="BP223" s="162"/>
      <c r="BQ223" s="162"/>
      <c r="BR223" s="162"/>
      <c r="BS223" s="162"/>
      <c r="BT223" s="163"/>
      <c r="BU223" s="140"/>
      <c r="BV223" s="156"/>
      <c r="BW223" s="157"/>
      <c r="BX223" s="158"/>
      <c r="BY223" s="158"/>
      <c r="BZ223" s="159"/>
      <c r="CA223" s="160"/>
      <c r="CB223" s="160"/>
      <c r="CC223" s="162"/>
      <c r="CD223" s="162"/>
      <c r="CE223" s="162"/>
      <c r="CF223" s="162"/>
      <c r="CG223" s="162"/>
      <c r="CH223" s="162"/>
      <c r="CI223" s="162"/>
      <c r="CJ223" s="162"/>
      <c r="CK223" s="162"/>
      <c r="CL223" s="162"/>
      <c r="CM223" s="162"/>
      <c r="CN223" s="162"/>
      <c r="CO223" s="162"/>
      <c r="CP223" s="162"/>
      <c r="CQ223" s="162"/>
      <c r="CR223" s="163"/>
      <c r="CS223" s="140"/>
      <c r="CT223" s="156"/>
      <c r="CU223" s="157"/>
      <c r="CV223" s="158"/>
      <c r="CW223" s="158"/>
      <c r="CX223" s="159"/>
      <c r="CY223" s="160"/>
      <c r="CZ223" s="160"/>
      <c r="DA223" s="162"/>
      <c r="DB223" s="162"/>
      <c r="DC223" s="162"/>
      <c r="DD223" s="162"/>
      <c r="DE223" s="162"/>
      <c r="DF223" s="162"/>
      <c r="DG223" s="162"/>
      <c r="DH223" s="162"/>
      <c r="DI223" s="162"/>
      <c r="DJ223" s="162"/>
      <c r="DK223" s="162"/>
      <c r="DL223" s="162"/>
      <c r="DM223" s="162"/>
      <c r="DN223" s="162"/>
      <c r="DO223" s="162"/>
      <c r="DP223" s="163"/>
      <c r="DQ223" s="140"/>
      <c r="DR223" s="156"/>
      <c r="DS223" s="157"/>
      <c r="DT223" s="158"/>
      <c r="DU223" s="158"/>
      <c r="DV223" s="159"/>
      <c r="DW223" s="160"/>
      <c r="DX223" s="160"/>
      <c r="DY223" s="162"/>
      <c r="DZ223" s="162"/>
      <c r="EA223" s="162"/>
      <c r="EB223" s="162"/>
      <c r="EC223" s="162"/>
      <c r="ED223" s="162"/>
      <c r="EE223" s="162"/>
      <c r="EF223" s="162"/>
      <c r="EG223" s="162"/>
      <c r="EH223" s="162"/>
      <c r="EI223" s="162"/>
      <c r="EJ223" s="162"/>
      <c r="EK223" s="162"/>
      <c r="EL223" s="162"/>
      <c r="EM223" s="162"/>
      <c r="EN223" s="163"/>
      <c r="EO223" s="140"/>
      <c r="EP223" s="156"/>
      <c r="EQ223" s="157"/>
      <c r="ER223" s="158"/>
      <c r="ES223" s="158"/>
      <c r="ET223" s="159"/>
      <c r="EU223" s="160"/>
      <c r="EV223" s="160"/>
      <c r="EW223" s="162"/>
      <c r="EX223" s="162"/>
      <c r="EY223" s="162"/>
      <c r="EZ223" s="162"/>
      <c r="FA223" s="162"/>
      <c r="FB223" s="162"/>
      <c r="FC223" s="162"/>
      <c r="FD223" s="162"/>
      <c r="FE223" s="162"/>
      <c r="FF223" s="162"/>
      <c r="FG223" s="162"/>
      <c r="FH223" s="162"/>
      <c r="FI223" s="162"/>
      <c r="FJ223" s="162"/>
      <c r="FK223" s="162"/>
      <c r="FL223" s="163"/>
      <c r="FM223" s="140"/>
      <c r="FN223" s="156"/>
      <c r="FO223" s="157"/>
      <c r="FP223" s="158"/>
      <c r="FQ223" s="158"/>
      <c r="FR223" s="159"/>
      <c r="FS223" s="160"/>
      <c r="FT223" s="160"/>
      <c r="FU223" s="162"/>
      <c r="FV223" s="162"/>
      <c r="FW223" s="162"/>
      <c r="FX223" s="162"/>
      <c r="FY223" s="162"/>
      <c r="FZ223" s="162"/>
      <c r="GA223" s="162"/>
      <c r="GB223" s="162"/>
      <c r="GC223" s="162"/>
      <c r="GD223" s="162"/>
      <c r="GE223" s="162"/>
      <c r="GF223" s="162"/>
      <c r="GG223" s="162"/>
      <c r="GH223" s="162"/>
      <c r="GI223" s="162"/>
      <c r="GJ223" s="163"/>
      <c r="GK223" s="140"/>
      <c r="GL223" s="156"/>
      <c r="GM223" s="157"/>
      <c r="GN223" s="158"/>
      <c r="GO223" s="158"/>
      <c r="GP223" s="159"/>
      <c r="GQ223" s="160"/>
      <c r="GR223" s="160"/>
      <c r="GS223" s="162"/>
      <c r="GT223" s="162"/>
      <c r="GU223" s="162"/>
      <c r="GV223" s="162"/>
      <c r="GW223" s="162"/>
      <c r="GX223" s="162"/>
      <c r="GY223" s="162"/>
      <c r="GZ223" s="162"/>
      <c r="HA223" s="162"/>
      <c r="HB223" s="162"/>
      <c r="HC223" s="162"/>
      <c r="HD223" s="162"/>
      <c r="HE223" s="162"/>
      <c r="HF223" s="162"/>
      <c r="HG223" s="162"/>
      <c r="HH223" s="163"/>
      <c r="HI223" s="140"/>
      <c r="HJ223" s="156"/>
      <c r="HK223" s="157"/>
      <c r="HL223" s="158"/>
      <c r="HM223" s="158"/>
      <c r="HN223" s="159"/>
      <c r="HO223" s="160"/>
      <c r="HP223" s="160"/>
      <c r="HQ223" s="162"/>
      <c r="HR223" s="162"/>
      <c r="HS223" s="162"/>
      <c r="HT223" s="162"/>
      <c r="HU223" s="162"/>
      <c r="HV223" s="162"/>
      <c r="HW223" s="162"/>
      <c r="HX223" s="162"/>
      <c r="HY223" s="162"/>
      <c r="HZ223" s="162"/>
      <c r="IA223" s="162"/>
      <c r="IB223" s="162"/>
      <c r="IC223" s="162"/>
      <c r="ID223" s="162"/>
      <c r="IE223" s="162"/>
      <c r="IF223" s="163"/>
      <c r="IG223" s="140"/>
      <c r="IH223" s="156"/>
      <c r="II223" s="157"/>
      <c r="IJ223" s="158"/>
      <c r="IK223" s="158"/>
      <c r="IL223" s="159"/>
      <c r="IM223" s="160"/>
      <c r="IN223" s="160"/>
      <c r="IO223" s="162"/>
      <c r="IP223" s="162"/>
      <c r="IQ223" s="162"/>
      <c r="IR223" s="162"/>
      <c r="IS223" s="162"/>
      <c r="IT223" s="162"/>
      <c r="IU223" s="162"/>
      <c r="IV223" s="162"/>
    </row>
    <row r="224" spans="1:256" s="141" customFormat="1" x14ac:dyDescent="0.25">
      <c r="A224" s="138">
        <v>20.100000000000001</v>
      </c>
      <c r="B224" s="165" t="s">
        <v>428</v>
      </c>
      <c r="C224" s="110">
        <v>3320000</v>
      </c>
      <c r="D224" s="201" t="s">
        <v>148</v>
      </c>
      <c r="E224" s="201"/>
      <c r="F224" s="110">
        <v>796</v>
      </c>
      <c r="G224" s="81" t="s">
        <v>17</v>
      </c>
      <c r="H224" s="81">
        <v>15</v>
      </c>
      <c r="I224" s="151">
        <v>98401</v>
      </c>
      <c r="J224" s="83" t="s">
        <v>429</v>
      </c>
      <c r="K224" s="83">
        <v>300000</v>
      </c>
      <c r="L224" s="83"/>
      <c r="M224" s="83"/>
      <c r="N224" s="83"/>
      <c r="O224" s="83"/>
      <c r="P224" s="83"/>
      <c r="Q224" s="83"/>
      <c r="R224" s="83">
        <v>15</v>
      </c>
      <c r="S224" s="83">
        <v>300000</v>
      </c>
      <c r="T224" s="83"/>
      <c r="U224" s="83"/>
      <c r="V224" s="83"/>
      <c r="W224" s="83"/>
      <c r="X224" s="167"/>
      <c r="Y224" s="168"/>
      <c r="Z224" s="168"/>
      <c r="AA224" s="168"/>
      <c r="AB224" s="168"/>
      <c r="AC224" s="168"/>
      <c r="AD224" s="168"/>
      <c r="AE224" s="168"/>
    </row>
    <row r="225" spans="1:256" s="141" customFormat="1" x14ac:dyDescent="0.25">
      <c r="A225" s="138">
        <v>20.2</v>
      </c>
      <c r="B225" s="165"/>
      <c r="C225" s="110"/>
      <c r="D225" s="201" t="s">
        <v>149</v>
      </c>
      <c r="E225" s="201"/>
      <c r="F225" s="110">
        <v>796</v>
      </c>
      <c r="G225" s="81" t="s">
        <v>17</v>
      </c>
      <c r="H225" s="81">
        <v>1</v>
      </c>
      <c r="I225" s="151">
        <v>98401</v>
      </c>
      <c r="J225" s="83" t="s">
        <v>429</v>
      </c>
      <c r="K225" s="83">
        <v>815650</v>
      </c>
      <c r="L225" s="83"/>
      <c r="M225" s="83"/>
      <c r="N225" s="83"/>
      <c r="O225" s="83"/>
      <c r="P225" s="83"/>
      <c r="Q225" s="83"/>
      <c r="R225" s="83">
        <v>1</v>
      </c>
      <c r="S225" s="83">
        <v>815650</v>
      </c>
      <c r="T225" s="83"/>
      <c r="U225" s="83"/>
      <c r="V225" s="83"/>
      <c r="W225" s="83"/>
      <c r="X225" s="167"/>
      <c r="Y225" s="168"/>
      <c r="Z225" s="168"/>
      <c r="AA225" s="168"/>
      <c r="AB225" s="168"/>
      <c r="AC225" s="168"/>
      <c r="AD225" s="168"/>
      <c r="AE225" s="168"/>
    </row>
    <row r="226" spans="1:256" s="141" customFormat="1" ht="45" x14ac:dyDescent="0.25">
      <c r="A226" s="138">
        <v>20.3</v>
      </c>
      <c r="B226" s="165" t="s">
        <v>428</v>
      </c>
      <c r="C226" s="110">
        <v>3320000</v>
      </c>
      <c r="D226" s="201" t="s">
        <v>150</v>
      </c>
      <c r="E226" s="201"/>
      <c r="F226" s="110">
        <v>796</v>
      </c>
      <c r="G226" s="81" t="s">
        <v>17</v>
      </c>
      <c r="H226" s="81">
        <v>3</v>
      </c>
      <c r="I226" s="151">
        <v>98401</v>
      </c>
      <c r="J226" s="83" t="s">
        <v>429</v>
      </c>
      <c r="K226" s="83">
        <v>1932000</v>
      </c>
      <c r="L226" s="83"/>
      <c r="M226" s="83"/>
      <c r="N226" s="83"/>
      <c r="O226" s="83"/>
      <c r="P226" s="83"/>
      <c r="Q226" s="83"/>
      <c r="R226" s="83">
        <v>1</v>
      </c>
      <c r="S226" s="83">
        <v>322000</v>
      </c>
      <c r="T226" s="83"/>
      <c r="U226" s="83"/>
      <c r="V226" s="83">
        <v>5</v>
      </c>
      <c r="W226" s="83">
        <v>1610000</v>
      </c>
      <c r="X226" s="167"/>
      <c r="Y226" s="168"/>
      <c r="Z226" s="168"/>
      <c r="AA226" s="168"/>
      <c r="AB226" s="168"/>
      <c r="AC226" s="168"/>
      <c r="AD226" s="168"/>
      <c r="AE226" s="168"/>
    </row>
    <row r="227" spans="1:256" s="141" customFormat="1" x14ac:dyDescent="0.25">
      <c r="A227" s="138">
        <v>20.399999999999999</v>
      </c>
      <c r="B227" s="165" t="s">
        <v>421</v>
      </c>
      <c r="C227" s="110">
        <v>4520080</v>
      </c>
      <c r="D227" s="201" t="s">
        <v>151</v>
      </c>
      <c r="E227" s="201"/>
      <c r="F227" s="110">
        <v>796</v>
      </c>
      <c r="G227" s="81" t="s">
        <v>17</v>
      </c>
      <c r="H227" s="81">
        <v>3</v>
      </c>
      <c r="I227" s="151">
        <v>98401</v>
      </c>
      <c r="J227" s="83" t="s">
        <v>429</v>
      </c>
      <c r="K227" s="83">
        <v>280000</v>
      </c>
      <c r="L227" s="83"/>
      <c r="M227" s="83"/>
      <c r="N227" s="83"/>
      <c r="O227" s="83"/>
      <c r="P227" s="83"/>
      <c r="Q227" s="83"/>
      <c r="R227" s="83"/>
      <c r="S227" s="83"/>
      <c r="T227" s="83">
        <v>3</v>
      </c>
      <c r="U227" s="83">
        <v>280000</v>
      </c>
      <c r="V227" s="83"/>
      <c r="W227" s="83"/>
      <c r="X227" s="167"/>
      <c r="Y227" s="168"/>
      <c r="Z227" s="168"/>
      <c r="AA227" s="168"/>
      <c r="AB227" s="168"/>
      <c r="AC227" s="168"/>
      <c r="AD227" s="168"/>
      <c r="AE227" s="168"/>
    </row>
    <row r="228" spans="1:256" s="141" customFormat="1" x14ac:dyDescent="0.25">
      <c r="A228" s="138">
        <v>20.5</v>
      </c>
      <c r="B228" s="165" t="s">
        <v>415</v>
      </c>
      <c r="C228" s="110">
        <v>3410000</v>
      </c>
      <c r="D228" s="201" t="s">
        <v>152</v>
      </c>
      <c r="E228" s="201"/>
      <c r="F228" s="110">
        <v>796</v>
      </c>
      <c r="G228" s="81" t="s">
        <v>17</v>
      </c>
      <c r="H228" s="81">
        <v>1</v>
      </c>
      <c r="I228" s="151">
        <v>98401</v>
      </c>
      <c r="J228" s="83" t="s">
        <v>429</v>
      </c>
      <c r="K228" s="83">
        <v>550000</v>
      </c>
      <c r="L228" s="83"/>
      <c r="M228" s="83"/>
      <c r="N228" s="83"/>
      <c r="O228" s="83"/>
      <c r="P228" s="83"/>
      <c r="Q228" s="83"/>
      <c r="R228" s="83">
        <v>1</v>
      </c>
      <c r="S228" s="83">
        <v>550000</v>
      </c>
      <c r="T228" s="83"/>
      <c r="U228" s="83"/>
      <c r="V228" s="83"/>
      <c r="W228" s="83"/>
      <c r="X228" s="167"/>
      <c r="Y228" s="168"/>
      <c r="Z228" s="168"/>
      <c r="AA228" s="168"/>
      <c r="AB228" s="168"/>
      <c r="AC228" s="168"/>
      <c r="AD228" s="168"/>
      <c r="AE228" s="168"/>
    </row>
    <row r="229" spans="1:256" s="141" customFormat="1" x14ac:dyDescent="0.25">
      <c r="A229" s="138">
        <v>20.6</v>
      </c>
      <c r="B229" s="165" t="s">
        <v>415</v>
      </c>
      <c r="C229" s="110">
        <v>3410000</v>
      </c>
      <c r="D229" s="201" t="s">
        <v>153</v>
      </c>
      <c r="E229" s="201"/>
      <c r="F229" s="110">
        <v>796</v>
      </c>
      <c r="G229" s="81" t="s">
        <v>17</v>
      </c>
      <c r="H229" s="81">
        <v>1</v>
      </c>
      <c r="I229" s="151">
        <v>98401</v>
      </c>
      <c r="J229" s="83" t="s">
        <v>429</v>
      </c>
      <c r="K229" s="83">
        <v>3100000</v>
      </c>
      <c r="L229" s="83"/>
      <c r="M229" s="83"/>
      <c r="N229" s="83"/>
      <c r="O229" s="83"/>
      <c r="P229" s="83"/>
      <c r="Q229" s="83"/>
      <c r="R229" s="83"/>
      <c r="S229" s="83"/>
      <c r="T229" s="83"/>
      <c r="U229" s="83"/>
      <c r="V229" s="83">
        <v>1</v>
      </c>
      <c r="W229" s="83">
        <v>3100000</v>
      </c>
      <c r="X229" s="167"/>
      <c r="Y229" s="168"/>
      <c r="Z229" s="168"/>
      <c r="AA229" s="168"/>
      <c r="AB229" s="168"/>
      <c r="AC229" s="168"/>
      <c r="AD229" s="168"/>
      <c r="AE229" s="168"/>
    </row>
    <row r="230" spans="1:256" s="141" customFormat="1" x14ac:dyDescent="0.25">
      <c r="A230" s="138">
        <v>20.7</v>
      </c>
      <c r="B230" s="165" t="s">
        <v>415</v>
      </c>
      <c r="C230" s="110">
        <v>3410000</v>
      </c>
      <c r="D230" s="201" t="s">
        <v>154</v>
      </c>
      <c r="E230" s="201"/>
      <c r="F230" s="110">
        <v>796</v>
      </c>
      <c r="G230" s="81" t="s">
        <v>17</v>
      </c>
      <c r="H230" s="81">
        <v>1</v>
      </c>
      <c r="I230" s="151">
        <v>98401</v>
      </c>
      <c r="J230" s="83" t="s">
        <v>429</v>
      </c>
      <c r="K230" s="83">
        <v>2100000</v>
      </c>
      <c r="L230" s="83"/>
      <c r="M230" s="83"/>
      <c r="N230" s="83"/>
      <c r="O230" s="83"/>
      <c r="P230" s="83"/>
      <c r="Q230" s="83"/>
      <c r="R230" s="83"/>
      <c r="S230" s="83"/>
      <c r="T230" s="83"/>
      <c r="U230" s="83"/>
      <c r="V230" s="83">
        <v>1</v>
      </c>
      <c r="W230" s="83">
        <v>2100000</v>
      </c>
      <c r="X230" s="167"/>
      <c r="Y230" s="168"/>
      <c r="Z230" s="168"/>
      <c r="AA230" s="168"/>
      <c r="AB230" s="168"/>
      <c r="AC230" s="168"/>
      <c r="AD230" s="168"/>
      <c r="AE230" s="168"/>
    </row>
    <row r="231" spans="1:256" s="141" customFormat="1" x14ac:dyDescent="0.25">
      <c r="A231" s="138">
        <v>20.8</v>
      </c>
      <c r="B231" s="165"/>
      <c r="C231" s="110"/>
      <c r="D231" s="201" t="s">
        <v>363</v>
      </c>
      <c r="E231" s="201"/>
      <c r="F231" s="110">
        <v>796</v>
      </c>
      <c r="G231" s="81" t="s">
        <v>17</v>
      </c>
      <c r="H231" s="81">
        <v>1</v>
      </c>
      <c r="I231" s="151">
        <v>98401</v>
      </c>
      <c r="J231" s="83" t="s">
        <v>429</v>
      </c>
      <c r="K231" s="83">
        <v>2000000</v>
      </c>
      <c r="L231" s="83"/>
      <c r="M231" s="83"/>
      <c r="N231" s="83"/>
      <c r="O231" s="83"/>
      <c r="P231" s="83"/>
      <c r="Q231" s="83"/>
      <c r="R231" s="83"/>
      <c r="S231" s="83"/>
      <c r="T231" s="83"/>
      <c r="U231" s="83"/>
      <c r="V231" s="83">
        <v>1</v>
      </c>
      <c r="W231" s="83">
        <v>2000000</v>
      </c>
      <c r="X231" s="167"/>
      <c r="Y231" s="168"/>
      <c r="Z231" s="168"/>
      <c r="AA231" s="168"/>
      <c r="AB231" s="168"/>
      <c r="AC231" s="168"/>
      <c r="AD231" s="168"/>
      <c r="AE231" s="168"/>
    </row>
    <row r="232" spans="1:256" s="141" customFormat="1" x14ac:dyDescent="0.25">
      <c r="A232" s="138"/>
      <c r="B232" s="165"/>
      <c r="C232" s="110"/>
      <c r="D232" s="202"/>
      <c r="E232" s="202"/>
      <c r="F232" s="203"/>
      <c r="G232" s="198"/>
      <c r="H232" s="198"/>
      <c r="I232" s="199"/>
      <c r="J232" s="200"/>
      <c r="K232" s="170">
        <v>11077650</v>
      </c>
      <c r="L232" s="170"/>
      <c r="M232" s="170"/>
      <c r="N232" s="170"/>
      <c r="O232" s="170"/>
      <c r="P232" s="83"/>
      <c r="Q232" s="170"/>
      <c r="R232" s="83"/>
      <c r="S232" s="170">
        <v>1987650</v>
      </c>
      <c r="T232" s="170"/>
      <c r="U232" s="170">
        <v>280000</v>
      </c>
      <c r="V232" s="83"/>
      <c r="W232" s="170">
        <v>8810000</v>
      </c>
      <c r="X232" s="167"/>
      <c r="Y232" s="171"/>
      <c r="Z232" s="168"/>
      <c r="AA232" s="168"/>
      <c r="AB232" s="168"/>
      <c r="AC232" s="168"/>
      <c r="AD232" s="168"/>
      <c r="AE232" s="168"/>
    </row>
    <row r="233" spans="1:256" s="164" customFormat="1" ht="14.25" x14ac:dyDescent="0.2">
      <c r="A233" s="140">
        <v>21</v>
      </c>
      <c r="B233" s="156"/>
      <c r="C233" s="157"/>
      <c r="D233" s="158" t="s">
        <v>155</v>
      </c>
      <c r="E233" s="158"/>
      <c r="F233" s="159"/>
      <c r="G233" s="160"/>
      <c r="H233" s="160"/>
      <c r="I233" s="161"/>
      <c r="J233" s="162"/>
      <c r="K233" s="162"/>
      <c r="L233" s="162"/>
      <c r="M233" s="162"/>
      <c r="N233" s="162"/>
      <c r="O233" s="162"/>
      <c r="P233" s="162"/>
      <c r="Q233" s="162"/>
      <c r="R233" s="162"/>
      <c r="S233" s="162"/>
      <c r="T233" s="162"/>
      <c r="U233" s="162"/>
      <c r="V233" s="162"/>
      <c r="W233" s="162"/>
      <c r="X233" s="163"/>
      <c r="Y233" s="140"/>
      <c r="Z233" s="156"/>
      <c r="AA233" s="157"/>
      <c r="AB233" s="158"/>
      <c r="AC233" s="158"/>
      <c r="AD233" s="159"/>
      <c r="AE233" s="160"/>
      <c r="AF233" s="160"/>
      <c r="AG233" s="162"/>
      <c r="AH233" s="162"/>
      <c r="AI233" s="162"/>
      <c r="AJ233" s="162"/>
      <c r="AK233" s="162"/>
      <c r="AL233" s="162"/>
      <c r="AM233" s="162"/>
      <c r="AN233" s="162"/>
      <c r="AO233" s="162"/>
      <c r="AP233" s="162"/>
      <c r="AQ233" s="162"/>
      <c r="AR233" s="162"/>
      <c r="AS233" s="162"/>
      <c r="AT233" s="162"/>
      <c r="AU233" s="162"/>
      <c r="AV233" s="163"/>
      <c r="AW233" s="140"/>
      <c r="AX233" s="156"/>
      <c r="AY233" s="157"/>
      <c r="AZ233" s="158"/>
      <c r="BA233" s="158"/>
      <c r="BB233" s="159"/>
      <c r="BC233" s="160"/>
      <c r="BD233" s="160"/>
      <c r="BE233" s="162"/>
      <c r="BF233" s="162"/>
      <c r="BG233" s="162"/>
      <c r="BH233" s="162"/>
      <c r="BI233" s="162"/>
      <c r="BJ233" s="162"/>
      <c r="BK233" s="162"/>
      <c r="BL233" s="162"/>
      <c r="BM233" s="162"/>
      <c r="BN233" s="162"/>
      <c r="BO233" s="162"/>
      <c r="BP233" s="162"/>
      <c r="BQ233" s="162"/>
      <c r="BR233" s="162"/>
      <c r="BS233" s="162"/>
      <c r="BT233" s="163"/>
      <c r="BU233" s="140"/>
      <c r="BV233" s="156"/>
      <c r="BW233" s="157"/>
      <c r="BX233" s="158"/>
      <c r="BY233" s="158"/>
      <c r="BZ233" s="159"/>
      <c r="CA233" s="160"/>
      <c r="CB233" s="160"/>
      <c r="CC233" s="162"/>
      <c r="CD233" s="162"/>
      <c r="CE233" s="162"/>
      <c r="CF233" s="162"/>
      <c r="CG233" s="162"/>
      <c r="CH233" s="162"/>
      <c r="CI233" s="162"/>
      <c r="CJ233" s="162"/>
      <c r="CK233" s="162"/>
      <c r="CL233" s="162"/>
      <c r="CM233" s="162"/>
      <c r="CN233" s="162"/>
      <c r="CO233" s="162"/>
      <c r="CP233" s="162"/>
      <c r="CQ233" s="162"/>
      <c r="CR233" s="163"/>
      <c r="CS233" s="140"/>
      <c r="CT233" s="156"/>
      <c r="CU233" s="157"/>
      <c r="CV233" s="158"/>
      <c r="CW233" s="158"/>
      <c r="CX233" s="159"/>
      <c r="CY233" s="160"/>
      <c r="CZ233" s="160"/>
      <c r="DA233" s="162"/>
      <c r="DB233" s="162"/>
      <c r="DC233" s="162"/>
      <c r="DD233" s="162"/>
      <c r="DE233" s="162"/>
      <c r="DF233" s="162"/>
      <c r="DG233" s="162"/>
      <c r="DH233" s="162"/>
      <c r="DI233" s="162"/>
      <c r="DJ233" s="162"/>
      <c r="DK233" s="162"/>
      <c r="DL233" s="162"/>
      <c r="DM233" s="162"/>
      <c r="DN233" s="162"/>
      <c r="DO233" s="162"/>
      <c r="DP233" s="163"/>
      <c r="DQ233" s="140"/>
      <c r="DR233" s="156"/>
      <c r="DS233" s="157"/>
      <c r="DT233" s="158"/>
      <c r="DU233" s="158"/>
      <c r="DV233" s="159"/>
      <c r="DW233" s="160"/>
      <c r="DX233" s="160"/>
      <c r="DY233" s="162"/>
      <c r="DZ233" s="162"/>
      <c r="EA233" s="162"/>
      <c r="EB233" s="162"/>
      <c r="EC233" s="162"/>
      <c r="ED233" s="162"/>
      <c r="EE233" s="162"/>
      <c r="EF233" s="162"/>
      <c r="EG233" s="162"/>
      <c r="EH233" s="162"/>
      <c r="EI233" s="162"/>
      <c r="EJ233" s="162"/>
      <c r="EK233" s="162"/>
      <c r="EL233" s="162"/>
      <c r="EM233" s="162"/>
      <c r="EN233" s="163"/>
      <c r="EO233" s="140"/>
      <c r="EP233" s="156"/>
      <c r="EQ233" s="157"/>
      <c r="ER233" s="158"/>
      <c r="ES233" s="158"/>
      <c r="ET233" s="159"/>
      <c r="EU233" s="160"/>
      <c r="EV233" s="160"/>
      <c r="EW233" s="162"/>
      <c r="EX233" s="162"/>
      <c r="EY233" s="162"/>
      <c r="EZ233" s="162"/>
      <c r="FA233" s="162"/>
      <c r="FB233" s="162"/>
      <c r="FC233" s="162"/>
      <c r="FD233" s="162"/>
      <c r="FE233" s="162"/>
      <c r="FF233" s="162"/>
      <c r="FG233" s="162"/>
      <c r="FH233" s="162"/>
      <c r="FI233" s="162"/>
      <c r="FJ233" s="162"/>
      <c r="FK233" s="162"/>
      <c r="FL233" s="163"/>
      <c r="FM233" s="140"/>
      <c r="FN233" s="156"/>
      <c r="FO233" s="157"/>
      <c r="FP233" s="158"/>
      <c r="FQ233" s="158"/>
      <c r="FR233" s="159"/>
      <c r="FS233" s="160"/>
      <c r="FT233" s="160"/>
      <c r="FU233" s="162"/>
      <c r="FV233" s="162"/>
      <c r="FW233" s="162"/>
      <c r="FX233" s="162"/>
      <c r="FY233" s="162"/>
      <c r="FZ233" s="162"/>
      <c r="GA233" s="162"/>
      <c r="GB233" s="162"/>
      <c r="GC233" s="162"/>
      <c r="GD233" s="162"/>
      <c r="GE233" s="162"/>
      <c r="GF233" s="162"/>
      <c r="GG233" s="162"/>
      <c r="GH233" s="162"/>
      <c r="GI233" s="162"/>
      <c r="GJ233" s="163"/>
      <c r="GK233" s="140"/>
      <c r="GL233" s="156"/>
      <c r="GM233" s="157"/>
      <c r="GN233" s="158"/>
      <c r="GO233" s="158"/>
      <c r="GP233" s="159"/>
      <c r="GQ233" s="160"/>
      <c r="GR233" s="160"/>
      <c r="GS233" s="162"/>
      <c r="GT233" s="162"/>
      <c r="GU233" s="162"/>
      <c r="GV233" s="162"/>
      <c r="GW233" s="162"/>
      <c r="GX233" s="162"/>
      <c r="GY233" s="162"/>
      <c r="GZ233" s="162"/>
      <c r="HA233" s="162"/>
      <c r="HB233" s="162"/>
      <c r="HC233" s="162"/>
      <c r="HD233" s="162"/>
      <c r="HE233" s="162"/>
      <c r="HF233" s="162"/>
      <c r="HG233" s="162"/>
      <c r="HH233" s="163"/>
      <c r="HI233" s="140"/>
      <c r="HJ233" s="156"/>
      <c r="HK233" s="157"/>
      <c r="HL233" s="158"/>
      <c r="HM233" s="158"/>
      <c r="HN233" s="159"/>
      <c r="HO233" s="160"/>
      <c r="HP233" s="160"/>
      <c r="HQ233" s="162"/>
      <c r="HR233" s="162"/>
      <c r="HS233" s="162"/>
      <c r="HT233" s="162"/>
      <c r="HU233" s="162"/>
      <c r="HV233" s="162"/>
      <c r="HW233" s="162"/>
      <c r="HX233" s="162"/>
      <c r="HY233" s="162"/>
      <c r="HZ233" s="162"/>
      <c r="IA233" s="162"/>
      <c r="IB233" s="162"/>
      <c r="IC233" s="162"/>
      <c r="ID233" s="162"/>
      <c r="IE233" s="162"/>
      <c r="IF233" s="163"/>
      <c r="IG233" s="140"/>
      <c r="IH233" s="156"/>
      <c r="II233" s="157"/>
      <c r="IJ233" s="158"/>
      <c r="IK233" s="158"/>
      <c r="IL233" s="159"/>
      <c r="IM233" s="160"/>
      <c r="IN233" s="160"/>
      <c r="IO233" s="162"/>
      <c r="IP233" s="162"/>
      <c r="IQ233" s="162"/>
      <c r="IR233" s="162"/>
      <c r="IS233" s="162"/>
      <c r="IT233" s="162"/>
      <c r="IU233" s="162"/>
      <c r="IV233" s="162"/>
    </row>
    <row r="234" spans="1:256" s="141" customFormat="1" x14ac:dyDescent="0.25">
      <c r="A234" s="138">
        <v>21.1</v>
      </c>
      <c r="B234" s="165" t="s">
        <v>415</v>
      </c>
      <c r="C234" s="110">
        <v>3430000</v>
      </c>
      <c r="D234" s="80" t="s">
        <v>156</v>
      </c>
      <c r="E234" s="80"/>
      <c r="F234" s="110">
        <v>796</v>
      </c>
      <c r="G234" s="81" t="s">
        <v>24</v>
      </c>
      <c r="H234" s="129">
        <v>1</v>
      </c>
      <c r="I234" s="151">
        <v>98401</v>
      </c>
      <c r="J234" s="83" t="s">
        <v>429</v>
      </c>
      <c r="K234" s="27">
        <v>58746.5</v>
      </c>
      <c r="L234" s="135"/>
      <c r="M234" s="135"/>
      <c r="N234" s="135"/>
      <c r="O234" s="135"/>
      <c r="P234" s="82"/>
      <c r="Q234" s="27"/>
      <c r="R234" s="83"/>
      <c r="S234" s="191"/>
      <c r="T234" s="83"/>
      <c r="U234" s="27">
        <v>28746.5</v>
      </c>
      <c r="V234" s="24"/>
      <c r="W234" s="24">
        <v>30000</v>
      </c>
      <c r="X234" s="26"/>
      <c r="Y234" s="168"/>
      <c r="Z234" s="168"/>
      <c r="AA234" s="168"/>
      <c r="AB234" s="168"/>
      <c r="AC234" s="168"/>
      <c r="AD234" s="168"/>
      <c r="AE234" s="168"/>
    </row>
    <row r="235" spans="1:256" s="141" customFormat="1" x14ac:dyDescent="0.25">
      <c r="A235" s="138">
        <v>21.2</v>
      </c>
      <c r="B235" s="165" t="s">
        <v>415</v>
      </c>
      <c r="C235" s="110">
        <v>3430000</v>
      </c>
      <c r="D235" s="80" t="s">
        <v>157</v>
      </c>
      <c r="E235" s="80"/>
      <c r="F235" s="110">
        <v>796</v>
      </c>
      <c r="G235" s="81" t="s">
        <v>24</v>
      </c>
      <c r="H235" s="129">
        <v>1</v>
      </c>
      <c r="I235" s="151">
        <v>98401</v>
      </c>
      <c r="J235" s="83" t="s">
        <v>429</v>
      </c>
      <c r="K235" s="26">
        <v>160780</v>
      </c>
      <c r="L235" s="133"/>
      <c r="M235" s="133"/>
      <c r="N235" s="133"/>
      <c r="O235" s="133"/>
      <c r="P235" s="82"/>
      <c r="Q235" s="26">
        <v>89580</v>
      </c>
      <c r="R235" s="83"/>
      <c r="S235" s="27"/>
      <c r="T235" s="83"/>
      <c r="U235" s="27">
        <v>36200</v>
      </c>
      <c r="V235" s="24"/>
      <c r="W235" s="24">
        <v>35000</v>
      </c>
      <c r="X235" s="26"/>
      <c r="Y235" s="168"/>
      <c r="Z235" s="168"/>
      <c r="AA235" s="168"/>
      <c r="AB235" s="168"/>
      <c r="AC235" s="168"/>
      <c r="AD235" s="168"/>
      <c r="AE235" s="168"/>
    </row>
    <row r="236" spans="1:256" s="141" customFormat="1" x14ac:dyDescent="0.25">
      <c r="A236" s="138">
        <v>21.3</v>
      </c>
      <c r="B236" s="165" t="s">
        <v>416</v>
      </c>
      <c r="C236" s="110">
        <v>3430000</v>
      </c>
      <c r="D236" s="80" t="s">
        <v>158</v>
      </c>
      <c r="E236" s="80"/>
      <c r="F236" s="110">
        <v>796</v>
      </c>
      <c r="G236" s="81" t="s">
        <v>24</v>
      </c>
      <c r="H236" s="129">
        <v>2</v>
      </c>
      <c r="I236" s="151">
        <v>98401</v>
      </c>
      <c r="J236" s="83" t="s">
        <v>429</v>
      </c>
      <c r="K236" s="26">
        <v>229920</v>
      </c>
      <c r="L236" s="133"/>
      <c r="M236" s="133"/>
      <c r="N236" s="133"/>
      <c r="O236" s="133"/>
      <c r="P236" s="82"/>
      <c r="Q236" s="26">
        <v>100000</v>
      </c>
      <c r="R236" s="83"/>
      <c r="S236" s="26">
        <v>100000</v>
      </c>
      <c r="T236" s="83"/>
      <c r="U236" s="26">
        <v>4920</v>
      </c>
      <c r="V236" s="24"/>
      <c r="W236" s="24">
        <v>25000</v>
      </c>
      <c r="X236" s="26"/>
      <c r="Y236" s="168"/>
      <c r="Z236" s="168"/>
      <c r="AA236" s="168"/>
      <c r="AB236" s="168"/>
      <c r="AC236" s="168"/>
      <c r="AD236" s="168"/>
      <c r="AE236" s="168"/>
    </row>
    <row r="237" spans="1:256" s="141" customFormat="1" x14ac:dyDescent="0.25">
      <c r="A237" s="138">
        <v>21.4</v>
      </c>
      <c r="B237" s="165" t="s">
        <v>416</v>
      </c>
      <c r="C237" s="110">
        <v>3430000</v>
      </c>
      <c r="D237" s="80" t="s">
        <v>331</v>
      </c>
      <c r="E237" s="80"/>
      <c r="F237" s="110">
        <v>796</v>
      </c>
      <c r="G237" s="81" t="s">
        <v>17</v>
      </c>
      <c r="H237" s="129">
        <v>10</v>
      </c>
      <c r="I237" s="151">
        <v>98401</v>
      </c>
      <c r="J237" s="83" t="s">
        <v>429</v>
      </c>
      <c r="K237" s="26">
        <v>93515</v>
      </c>
      <c r="L237" s="133"/>
      <c r="M237" s="133"/>
      <c r="N237" s="133"/>
      <c r="O237" s="133"/>
      <c r="P237" s="82"/>
      <c r="Q237" s="26"/>
      <c r="R237" s="83"/>
      <c r="S237" s="26"/>
      <c r="T237" s="83"/>
      <c r="U237" s="26">
        <v>68515</v>
      </c>
      <c r="V237" s="24"/>
      <c r="W237" s="66">
        <v>25000</v>
      </c>
      <c r="X237" s="26"/>
      <c r="Y237" s="168"/>
      <c r="Z237" s="168"/>
      <c r="AA237" s="168"/>
      <c r="AB237" s="168"/>
      <c r="AC237" s="168"/>
      <c r="AD237" s="168"/>
      <c r="AE237" s="168"/>
    </row>
    <row r="238" spans="1:256" s="141" customFormat="1" x14ac:dyDescent="0.25">
      <c r="A238" s="138"/>
      <c r="B238" s="165"/>
      <c r="C238" s="110"/>
      <c r="D238" s="80"/>
      <c r="E238" s="80"/>
      <c r="F238" s="114"/>
      <c r="G238" s="81"/>
      <c r="H238" s="129"/>
      <c r="I238" s="154"/>
      <c r="J238" s="66"/>
      <c r="K238" s="64">
        <v>542961.5</v>
      </c>
      <c r="L238" s="134"/>
      <c r="M238" s="134"/>
      <c r="N238" s="134"/>
      <c r="O238" s="134"/>
      <c r="P238" s="82"/>
      <c r="Q238" s="64">
        <v>189580</v>
      </c>
      <c r="R238" s="83"/>
      <c r="S238" s="64">
        <v>100000</v>
      </c>
      <c r="T238" s="83"/>
      <c r="U238" s="64">
        <v>138381.5</v>
      </c>
      <c r="V238" s="24"/>
      <c r="W238" s="64">
        <v>115000</v>
      </c>
      <c r="X238" s="26"/>
      <c r="Y238" s="171"/>
      <c r="Z238" s="168"/>
      <c r="AA238" s="168"/>
      <c r="AB238" s="168"/>
      <c r="AC238" s="168"/>
      <c r="AD238" s="168"/>
      <c r="AE238" s="168"/>
    </row>
    <row r="239" spans="1:256" s="164" customFormat="1" ht="14.25" x14ac:dyDescent="0.2">
      <c r="A239" s="140">
        <v>22</v>
      </c>
      <c r="B239" s="156"/>
      <c r="C239" s="157"/>
      <c r="D239" s="158" t="s">
        <v>159</v>
      </c>
      <c r="E239" s="158"/>
      <c r="F239" s="159"/>
      <c r="G239" s="160"/>
      <c r="H239" s="160"/>
      <c r="I239" s="161"/>
      <c r="J239" s="162"/>
      <c r="K239" s="162"/>
      <c r="L239" s="162"/>
      <c r="M239" s="162"/>
      <c r="N239" s="162"/>
      <c r="O239" s="162"/>
      <c r="P239" s="162"/>
      <c r="Q239" s="162"/>
      <c r="R239" s="162"/>
      <c r="S239" s="162"/>
      <c r="T239" s="162"/>
      <c r="U239" s="162"/>
      <c r="V239" s="162"/>
      <c r="W239" s="162"/>
      <c r="X239" s="163"/>
      <c r="Y239" s="140"/>
      <c r="Z239" s="156"/>
      <c r="AA239" s="157"/>
      <c r="AB239" s="158"/>
      <c r="AC239" s="158"/>
      <c r="AD239" s="159"/>
      <c r="AE239" s="160"/>
      <c r="AF239" s="160"/>
      <c r="AG239" s="162"/>
      <c r="AH239" s="162"/>
      <c r="AI239" s="162"/>
      <c r="AJ239" s="162"/>
      <c r="AK239" s="162"/>
      <c r="AL239" s="162"/>
      <c r="AM239" s="162"/>
      <c r="AN239" s="162"/>
      <c r="AO239" s="162"/>
      <c r="AP239" s="162"/>
      <c r="AQ239" s="162"/>
      <c r="AR239" s="162"/>
      <c r="AS239" s="162"/>
      <c r="AT239" s="162"/>
      <c r="AU239" s="162"/>
      <c r="AV239" s="163"/>
      <c r="AW239" s="140"/>
      <c r="AX239" s="156"/>
      <c r="AY239" s="157"/>
      <c r="AZ239" s="158"/>
      <c r="BA239" s="158"/>
      <c r="BB239" s="159"/>
      <c r="BC239" s="160"/>
      <c r="BD239" s="160"/>
      <c r="BE239" s="162"/>
      <c r="BF239" s="162"/>
      <c r="BG239" s="162"/>
      <c r="BH239" s="162"/>
      <c r="BI239" s="162"/>
      <c r="BJ239" s="162"/>
      <c r="BK239" s="162"/>
      <c r="BL239" s="162"/>
      <c r="BM239" s="162"/>
      <c r="BN239" s="162"/>
      <c r="BO239" s="162"/>
      <c r="BP239" s="162"/>
      <c r="BQ239" s="162"/>
      <c r="BR239" s="162"/>
      <c r="BS239" s="162"/>
      <c r="BT239" s="163"/>
      <c r="BU239" s="140"/>
      <c r="BV239" s="156"/>
      <c r="BW239" s="157"/>
      <c r="BX239" s="158"/>
      <c r="BY239" s="158"/>
      <c r="BZ239" s="159"/>
      <c r="CA239" s="160"/>
      <c r="CB239" s="160"/>
      <c r="CC239" s="162"/>
      <c r="CD239" s="162"/>
      <c r="CE239" s="162"/>
      <c r="CF239" s="162"/>
      <c r="CG239" s="162"/>
      <c r="CH239" s="162"/>
      <c r="CI239" s="162"/>
      <c r="CJ239" s="162"/>
      <c r="CK239" s="162"/>
      <c r="CL239" s="162"/>
      <c r="CM239" s="162"/>
      <c r="CN239" s="162"/>
      <c r="CO239" s="162"/>
      <c r="CP239" s="162"/>
      <c r="CQ239" s="162"/>
      <c r="CR239" s="163"/>
      <c r="CS239" s="140"/>
      <c r="CT239" s="156"/>
      <c r="CU239" s="157"/>
      <c r="CV239" s="158"/>
      <c r="CW239" s="158"/>
      <c r="CX239" s="159"/>
      <c r="CY239" s="160"/>
      <c r="CZ239" s="160"/>
      <c r="DA239" s="162"/>
      <c r="DB239" s="162"/>
      <c r="DC239" s="162"/>
      <c r="DD239" s="162"/>
      <c r="DE239" s="162"/>
      <c r="DF239" s="162"/>
      <c r="DG239" s="162"/>
      <c r="DH239" s="162"/>
      <c r="DI239" s="162"/>
      <c r="DJ239" s="162"/>
      <c r="DK239" s="162"/>
      <c r="DL239" s="162"/>
      <c r="DM239" s="162"/>
      <c r="DN239" s="162"/>
      <c r="DO239" s="162"/>
      <c r="DP239" s="163"/>
      <c r="DQ239" s="140"/>
      <c r="DR239" s="156"/>
      <c r="DS239" s="157"/>
      <c r="DT239" s="158"/>
      <c r="DU239" s="158"/>
      <c r="DV239" s="159"/>
      <c r="DW239" s="160"/>
      <c r="DX239" s="160"/>
      <c r="DY239" s="162"/>
      <c r="DZ239" s="162"/>
      <c r="EA239" s="162"/>
      <c r="EB239" s="162"/>
      <c r="EC239" s="162"/>
      <c r="ED239" s="162"/>
      <c r="EE239" s="162"/>
      <c r="EF239" s="162"/>
      <c r="EG239" s="162"/>
      <c r="EH239" s="162"/>
      <c r="EI239" s="162"/>
      <c r="EJ239" s="162"/>
      <c r="EK239" s="162"/>
      <c r="EL239" s="162"/>
      <c r="EM239" s="162"/>
      <c r="EN239" s="163"/>
      <c r="EO239" s="140"/>
      <c r="EP239" s="156"/>
      <c r="EQ239" s="157"/>
      <c r="ER239" s="158"/>
      <c r="ES239" s="158"/>
      <c r="ET239" s="159"/>
      <c r="EU239" s="160"/>
      <c r="EV239" s="160"/>
      <c r="EW239" s="162"/>
      <c r="EX239" s="162"/>
      <c r="EY239" s="162"/>
      <c r="EZ239" s="162"/>
      <c r="FA239" s="162"/>
      <c r="FB239" s="162"/>
      <c r="FC239" s="162"/>
      <c r="FD239" s="162"/>
      <c r="FE239" s="162"/>
      <c r="FF239" s="162"/>
      <c r="FG239" s="162"/>
      <c r="FH239" s="162"/>
      <c r="FI239" s="162"/>
      <c r="FJ239" s="162"/>
      <c r="FK239" s="162"/>
      <c r="FL239" s="163"/>
      <c r="FM239" s="140"/>
      <c r="FN239" s="156"/>
      <c r="FO239" s="157"/>
      <c r="FP239" s="158"/>
      <c r="FQ239" s="158"/>
      <c r="FR239" s="159"/>
      <c r="FS239" s="160"/>
      <c r="FT239" s="160"/>
      <c r="FU239" s="162"/>
      <c r="FV239" s="162"/>
      <c r="FW239" s="162"/>
      <c r="FX239" s="162"/>
      <c r="FY239" s="162"/>
      <c r="FZ239" s="162"/>
      <c r="GA239" s="162"/>
      <c r="GB239" s="162"/>
      <c r="GC239" s="162"/>
      <c r="GD239" s="162"/>
      <c r="GE239" s="162"/>
      <c r="GF239" s="162"/>
      <c r="GG239" s="162"/>
      <c r="GH239" s="162"/>
      <c r="GI239" s="162"/>
      <c r="GJ239" s="163"/>
      <c r="GK239" s="140"/>
      <c r="GL239" s="156"/>
      <c r="GM239" s="157"/>
      <c r="GN239" s="158"/>
      <c r="GO239" s="158"/>
      <c r="GP239" s="159"/>
      <c r="GQ239" s="160"/>
      <c r="GR239" s="160"/>
      <c r="GS239" s="162"/>
      <c r="GT239" s="162"/>
      <c r="GU239" s="162"/>
      <c r="GV239" s="162"/>
      <c r="GW239" s="162"/>
      <c r="GX239" s="162"/>
      <c r="GY239" s="162"/>
      <c r="GZ239" s="162"/>
      <c r="HA239" s="162"/>
      <c r="HB239" s="162"/>
      <c r="HC239" s="162"/>
      <c r="HD239" s="162"/>
      <c r="HE239" s="162"/>
      <c r="HF239" s="162"/>
      <c r="HG239" s="162"/>
      <c r="HH239" s="163"/>
      <c r="HI239" s="140"/>
      <c r="HJ239" s="156"/>
      <c r="HK239" s="157"/>
      <c r="HL239" s="158"/>
      <c r="HM239" s="158"/>
      <c r="HN239" s="159"/>
      <c r="HO239" s="160"/>
      <c r="HP239" s="160"/>
      <c r="HQ239" s="162"/>
      <c r="HR239" s="162"/>
      <c r="HS239" s="162"/>
      <c r="HT239" s="162"/>
      <c r="HU239" s="162"/>
      <c r="HV239" s="162"/>
      <c r="HW239" s="162"/>
      <c r="HX239" s="162"/>
      <c r="HY239" s="162"/>
      <c r="HZ239" s="162"/>
      <c r="IA239" s="162"/>
      <c r="IB239" s="162"/>
      <c r="IC239" s="162"/>
      <c r="ID239" s="162"/>
      <c r="IE239" s="162"/>
      <c r="IF239" s="163"/>
      <c r="IG239" s="140"/>
      <c r="IH239" s="156"/>
      <c r="II239" s="157"/>
      <c r="IJ239" s="158"/>
      <c r="IK239" s="158"/>
      <c r="IL239" s="159"/>
      <c r="IM239" s="160"/>
      <c r="IN239" s="160"/>
      <c r="IO239" s="162"/>
      <c r="IP239" s="162"/>
      <c r="IQ239" s="162"/>
      <c r="IR239" s="162"/>
      <c r="IS239" s="162"/>
      <c r="IT239" s="162"/>
      <c r="IU239" s="162"/>
      <c r="IV239" s="162"/>
    </row>
    <row r="240" spans="1:256" s="141" customFormat="1" x14ac:dyDescent="0.25">
      <c r="A240" s="138">
        <v>22.1</v>
      </c>
      <c r="B240" s="165" t="s">
        <v>416</v>
      </c>
      <c r="C240" s="110">
        <v>5020020</v>
      </c>
      <c r="D240" s="80" t="s">
        <v>160</v>
      </c>
      <c r="E240" s="80"/>
      <c r="F240" s="110">
        <v>796</v>
      </c>
      <c r="G240" s="81" t="s">
        <v>24</v>
      </c>
      <c r="H240" s="129">
        <v>1</v>
      </c>
      <c r="I240" s="151">
        <v>98401</v>
      </c>
      <c r="J240" s="83" t="s">
        <v>429</v>
      </c>
      <c r="K240" s="27">
        <v>100000</v>
      </c>
      <c r="L240" s="135"/>
      <c r="M240" s="135"/>
      <c r="N240" s="135"/>
      <c r="O240" s="135"/>
      <c r="P240" s="82"/>
      <c r="Q240" s="27"/>
      <c r="R240" s="83"/>
      <c r="S240" s="191"/>
      <c r="T240" s="83">
        <v>1</v>
      </c>
      <c r="U240" s="27">
        <v>100000</v>
      </c>
      <c r="V240" s="24"/>
      <c r="W240" s="24"/>
      <c r="X240" s="26"/>
      <c r="Y240" s="168"/>
      <c r="Z240" s="168"/>
      <c r="AA240" s="168"/>
      <c r="AB240" s="168"/>
      <c r="AC240" s="168"/>
      <c r="AD240" s="168"/>
      <c r="AE240" s="168"/>
    </row>
    <row r="241" spans="1:256" s="141" customFormat="1" x14ac:dyDescent="0.25">
      <c r="A241" s="138">
        <v>22.2</v>
      </c>
      <c r="B241" s="165" t="s">
        <v>416</v>
      </c>
      <c r="C241" s="110">
        <v>5020020</v>
      </c>
      <c r="D241" s="80" t="s">
        <v>161</v>
      </c>
      <c r="E241" s="80"/>
      <c r="F241" s="110">
        <v>796</v>
      </c>
      <c r="G241" s="81" t="s">
        <v>24</v>
      </c>
      <c r="H241" s="129">
        <v>1</v>
      </c>
      <c r="I241" s="151">
        <v>98401</v>
      </c>
      <c r="J241" s="83" t="s">
        <v>429</v>
      </c>
      <c r="K241" s="26">
        <v>70000</v>
      </c>
      <c r="L241" s="133"/>
      <c r="M241" s="133"/>
      <c r="N241" s="133"/>
      <c r="O241" s="133"/>
      <c r="P241" s="82">
        <v>1</v>
      </c>
      <c r="Q241" s="26">
        <v>70000</v>
      </c>
      <c r="R241" s="83"/>
      <c r="S241" s="27"/>
      <c r="T241" s="83"/>
      <c r="U241" s="27"/>
      <c r="V241" s="24"/>
      <c r="W241" s="24"/>
      <c r="X241" s="26"/>
      <c r="Y241" s="168"/>
      <c r="Z241" s="168"/>
      <c r="AA241" s="168"/>
      <c r="AB241" s="168"/>
      <c r="AC241" s="168"/>
      <c r="AD241" s="168"/>
      <c r="AE241" s="168"/>
    </row>
    <row r="242" spans="1:256" s="141" customFormat="1" x14ac:dyDescent="0.25">
      <c r="A242" s="138">
        <v>22.3</v>
      </c>
      <c r="B242" s="165" t="s">
        <v>416</v>
      </c>
      <c r="C242" s="110"/>
      <c r="D242" s="80" t="s">
        <v>162</v>
      </c>
      <c r="E242" s="80"/>
      <c r="F242" s="110">
        <v>796</v>
      </c>
      <c r="G242" s="81" t="s">
        <v>24</v>
      </c>
      <c r="H242" s="129">
        <v>1</v>
      </c>
      <c r="I242" s="151">
        <v>98401</v>
      </c>
      <c r="J242" s="83" t="s">
        <v>429</v>
      </c>
      <c r="K242" s="26">
        <v>31500</v>
      </c>
      <c r="L242" s="133"/>
      <c r="M242" s="133"/>
      <c r="N242" s="133"/>
      <c r="O242" s="133"/>
      <c r="P242" s="82"/>
      <c r="Q242" s="26"/>
      <c r="R242" s="204"/>
      <c r="S242" s="26"/>
      <c r="T242" s="204">
        <v>1</v>
      </c>
      <c r="U242" s="26">
        <v>31500</v>
      </c>
      <c r="V242" s="24"/>
      <c r="W242" s="24"/>
      <c r="X242" s="26"/>
      <c r="Y242" s="168"/>
      <c r="Z242" s="168"/>
      <c r="AA242" s="168"/>
      <c r="AB242" s="168"/>
      <c r="AC242" s="168"/>
      <c r="AD242" s="168"/>
      <c r="AE242" s="168"/>
    </row>
    <row r="243" spans="1:256" s="141" customFormat="1" x14ac:dyDescent="0.25">
      <c r="A243" s="138"/>
      <c r="B243" s="165"/>
      <c r="C243" s="110"/>
      <c r="D243" s="205"/>
      <c r="E243" s="205"/>
      <c r="F243" s="206"/>
      <c r="G243" s="81"/>
      <c r="H243" s="129"/>
      <c r="I243" s="154"/>
      <c r="J243" s="66"/>
      <c r="K243" s="64">
        <v>201500</v>
      </c>
      <c r="L243" s="134"/>
      <c r="M243" s="134"/>
      <c r="N243" s="134"/>
      <c r="O243" s="134"/>
      <c r="P243" s="82"/>
      <c r="Q243" s="64">
        <v>70000</v>
      </c>
      <c r="R243" s="64"/>
      <c r="S243" s="64"/>
      <c r="T243" s="64"/>
      <c r="U243" s="64">
        <v>131500</v>
      </c>
      <c r="V243" s="24"/>
      <c r="W243" s="24"/>
      <c r="X243" s="26"/>
      <c r="Y243" s="168"/>
      <c r="Z243" s="168"/>
      <c r="AA243" s="168"/>
      <c r="AB243" s="168"/>
      <c r="AC243" s="168"/>
      <c r="AD243" s="168"/>
      <c r="AE243" s="168"/>
    </row>
    <row r="244" spans="1:256" s="164" customFormat="1" ht="14.25" x14ac:dyDescent="0.2">
      <c r="A244" s="140">
        <v>23</v>
      </c>
      <c r="B244" s="156"/>
      <c r="C244" s="157"/>
      <c r="D244" s="158" t="s">
        <v>163</v>
      </c>
      <c r="E244" s="158"/>
      <c r="F244" s="159"/>
      <c r="G244" s="160"/>
      <c r="H244" s="160"/>
      <c r="I244" s="161"/>
      <c r="J244" s="162"/>
      <c r="K244" s="162"/>
      <c r="L244" s="162"/>
      <c r="M244" s="162"/>
      <c r="N244" s="162"/>
      <c r="O244" s="162"/>
      <c r="P244" s="162"/>
      <c r="Q244" s="162"/>
      <c r="R244" s="162"/>
      <c r="S244" s="162"/>
      <c r="T244" s="162"/>
      <c r="U244" s="162"/>
      <c r="V244" s="162"/>
      <c r="W244" s="162"/>
      <c r="X244" s="163"/>
      <c r="Y244" s="140"/>
      <c r="Z244" s="156"/>
      <c r="AA244" s="157"/>
      <c r="AB244" s="158"/>
      <c r="AC244" s="158"/>
      <c r="AD244" s="159"/>
      <c r="AE244" s="160"/>
      <c r="AF244" s="160"/>
      <c r="AG244" s="162"/>
      <c r="AH244" s="162"/>
      <c r="AI244" s="162"/>
      <c r="AJ244" s="162"/>
      <c r="AK244" s="162"/>
      <c r="AL244" s="162"/>
      <c r="AM244" s="162"/>
      <c r="AN244" s="162"/>
      <c r="AO244" s="162"/>
      <c r="AP244" s="162"/>
      <c r="AQ244" s="162"/>
      <c r="AR244" s="162"/>
      <c r="AS244" s="162"/>
      <c r="AT244" s="162"/>
      <c r="AU244" s="162"/>
      <c r="AV244" s="163"/>
      <c r="AW244" s="140"/>
      <c r="AX244" s="156"/>
      <c r="AY244" s="157"/>
      <c r="AZ244" s="158"/>
      <c r="BA244" s="158"/>
      <c r="BB244" s="159"/>
      <c r="BC244" s="160"/>
      <c r="BD244" s="160"/>
      <c r="BE244" s="162"/>
      <c r="BF244" s="162"/>
      <c r="BG244" s="162"/>
      <c r="BH244" s="162"/>
      <c r="BI244" s="162"/>
      <c r="BJ244" s="162"/>
      <c r="BK244" s="162"/>
      <c r="BL244" s="162"/>
      <c r="BM244" s="162"/>
      <c r="BN244" s="162"/>
      <c r="BO244" s="162"/>
      <c r="BP244" s="162"/>
      <c r="BQ244" s="162"/>
      <c r="BR244" s="162"/>
      <c r="BS244" s="162"/>
      <c r="BT244" s="163"/>
      <c r="BU244" s="140"/>
      <c r="BV244" s="156"/>
      <c r="BW244" s="157"/>
      <c r="BX244" s="158"/>
      <c r="BY244" s="158"/>
      <c r="BZ244" s="159"/>
      <c r="CA244" s="160"/>
      <c r="CB244" s="160"/>
      <c r="CC244" s="162"/>
      <c r="CD244" s="162"/>
      <c r="CE244" s="162"/>
      <c r="CF244" s="162"/>
      <c r="CG244" s="162"/>
      <c r="CH244" s="162"/>
      <c r="CI244" s="162"/>
      <c r="CJ244" s="162"/>
      <c r="CK244" s="162"/>
      <c r="CL244" s="162"/>
      <c r="CM244" s="162"/>
      <c r="CN244" s="162"/>
      <c r="CO244" s="162"/>
      <c r="CP244" s="162"/>
      <c r="CQ244" s="162"/>
      <c r="CR244" s="163"/>
      <c r="CS244" s="140"/>
      <c r="CT244" s="156"/>
      <c r="CU244" s="157"/>
      <c r="CV244" s="158"/>
      <c r="CW244" s="158"/>
      <c r="CX244" s="159"/>
      <c r="CY244" s="160"/>
      <c r="CZ244" s="160"/>
      <c r="DA244" s="162"/>
      <c r="DB244" s="162"/>
      <c r="DC244" s="162"/>
      <c r="DD244" s="162"/>
      <c r="DE244" s="162"/>
      <c r="DF244" s="162"/>
      <c r="DG244" s="162"/>
      <c r="DH244" s="162"/>
      <c r="DI244" s="162"/>
      <c r="DJ244" s="162"/>
      <c r="DK244" s="162"/>
      <c r="DL244" s="162"/>
      <c r="DM244" s="162"/>
      <c r="DN244" s="162"/>
      <c r="DO244" s="162"/>
      <c r="DP244" s="163"/>
      <c r="DQ244" s="140"/>
      <c r="DR244" s="156"/>
      <c r="DS244" s="157"/>
      <c r="DT244" s="158"/>
      <c r="DU244" s="158"/>
      <c r="DV244" s="159"/>
      <c r="DW244" s="160"/>
      <c r="DX244" s="160"/>
      <c r="DY244" s="162"/>
      <c r="DZ244" s="162"/>
      <c r="EA244" s="162"/>
      <c r="EB244" s="162"/>
      <c r="EC244" s="162"/>
      <c r="ED244" s="162"/>
      <c r="EE244" s="162"/>
      <c r="EF244" s="162"/>
      <c r="EG244" s="162"/>
      <c r="EH244" s="162"/>
      <c r="EI244" s="162"/>
      <c r="EJ244" s="162"/>
      <c r="EK244" s="162"/>
      <c r="EL244" s="162"/>
      <c r="EM244" s="162"/>
      <c r="EN244" s="163"/>
      <c r="EO244" s="140"/>
      <c r="EP244" s="156"/>
      <c r="EQ244" s="157"/>
      <c r="ER244" s="158"/>
      <c r="ES244" s="158"/>
      <c r="ET244" s="159"/>
      <c r="EU244" s="160"/>
      <c r="EV244" s="160"/>
      <c r="EW244" s="162"/>
      <c r="EX244" s="162"/>
      <c r="EY244" s="162"/>
      <c r="EZ244" s="162"/>
      <c r="FA244" s="162"/>
      <c r="FB244" s="162"/>
      <c r="FC244" s="162"/>
      <c r="FD244" s="162"/>
      <c r="FE244" s="162"/>
      <c r="FF244" s="162"/>
      <c r="FG244" s="162"/>
      <c r="FH244" s="162"/>
      <c r="FI244" s="162"/>
      <c r="FJ244" s="162"/>
      <c r="FK244" s="162"/>
      <c r="FL244" s="163"/>
      <c r="FM244" s="140"/>
      <c r="FN244" s="156"/>
      <c r="FO244" s="157"/>
      <c r="FP244" s="158"/>
      <c r="FQ244" s="158"/>
      <c r="FR244" s="159"/>
      <c r="FS244" s="160"/>
      <c r="FT244" s="160"/>
      <c r="FU244" s="162"/>
      <c r="FV244" s="162"/>
      <c r="FW244" s="162"/>
      <c r="FX244" s="162"/>
      <c r="FY244" s="162"/>
      <c r="FZ244" s="162"/>
      <c r="GA244" s="162"/>
      <c r="GB244" s="162"/>
      <c r="GC244" s="162"/>
      <c r="GD244" s="162"/>
      <c r="GE244" s="162"/>
      <c r="GF244" s="162"/>
      <c r="GG244" s="162"/>
      <c r="GH244" s="162"/>
      <c r="GI244" s="162"/>
      <c r="GJ244" s="163"/>
      <c r="GK244" s="140"/>
      <c r="GL244" s="156"/>
      <c r="GM244" s="157"/>
      <c r="GN244" s="158"/>
      <c r="GO244" s="158"/>
      <c r="GP244" s="159"/>
      <c r="GQ244" s="160"/>
      <c r="GR244" s="160"/>
      <c r="GS244" s="162"/>
      <c r="GT244" s="162"/>
      <c r="GU244" s="162"/>
      <c r="GV244" s="162"/>
      <c r="GW244" s="162"/>
      <c r="GX244" s="162"/>
      <c r="GY244" s="162"/>
      <c r="GZ244" s="162"/>
      <c r="HA244" s="162"/>
      <c r="HB244" s="162"/>
      <c r="HC244" s="162"/>
      <c r="HD244" s="162"/>
      <c r="HE244" s="162"/>
      <c r="HF244" s="162"/>
      <c r="HG244" s="162"/>
      <c r="HH244" s="163"/>
      <c r="HI244" s="140"/>
      <c r="HJ244" s="156"/>
      <c r="HK244" s="157"/>
      <c r="HL244" s="158"/>
      <c r="HM244" s="158"/>
      <c r="HN244" s="159"/>
      <c r="HO244" s="160"/>
      <c r="HP244" s="160"/>
      <c r="HQ244" s="162"/>
      <c r="HR244" s="162"/>
      <c r="HS244" s="162"/>
      <c r="HT244" s="162"/>
      <c r="HU244" s="162"/>
      <c r="HV244" s="162"/>
      <c r="HW244" s="162"/>
      <c r="HX244" s="162"/>
      <c r="HY244" s="162"/>
      <c r="HZ244" s="162"/>
      <c r="IA244" s="162"/>
      <c r="IB244" s="162"/>
      <c r="IC244" s="162"/>
      <c r="ID244" s="162"/>
      <c r="IE244" s="162"/>
      <c r="IF244" s="163"/>
      <c r="IG244" s="140"/>
      <c r="IH244" s="156"/>
      <c r="II244" s="157"/>
      <c r="IJ244" s="158"/>
      <c r="IK244" s="158"/>
      <c r="IL244" s="159"/>
      <c r="IM244" s="160"/>
      <c r="IN244" s="160"/>
      <c r="IO244" s="162"/>
      <c r="IP244" s="162"/>
      <c r="IQ244" s="162"/>
      <c r="IR244" s="162"/>
      <c r="IS244" s="162"/>
      <c r="IT244" s="162"/>
      <c r="IU244" s="162"/>
      <c r="IV244" s="162"/>
    </row>
    <row r="245" spans="1:256" s="141" customFormat="1" ht="45" x14ac:dyDescent="0.25">
      <c r="A245" s="138">
        <v>23.1</v>
      </c>
      <c r="B245" s="165" t="s">
        <v>417</v>
      </c>
      <c r="C245" s="110">
        <v>2320212</v>
      </c>
      <c r="D245" s="80" t="s">
        <v>164</v>
      </c>
      <c r="E245" s="80"/>
      <c r="F245" s="114">
        <v>112</v>
      </c>
      <c r="G245" s="81" t="s">
        <v>165</v>
      </c>
      <c r="H245" s="81">
        <v>25300</v>
      </c>
      <c r="I245" s="151">
        <v>98401</v>
      </c>
      <c r="J245" s="83" t="s">
        <v>429</v>
      </c>
      <c r="K245" s="83">
        <v>885500</v>
      </c>
      <c r="L245" s="83"/>
      <c r="M245" s="83"/>
      <c r="N245" s="83"/>
      <c r="O245" s="83"/>
      <c r="P245" s="83"/>
      <c r="Q245" s="83"/>
      <c r="R245" s="83">
        <v>25308</v>
      </c>
      <c r="S245" s="83">
        <v>885500</v>
      </c>
      <c r="T245" s="83"/>
      <c r="U245" s="83"/>
      <c r="V245" s="83"/>
      <c r="W245" s="83"/>
      <c r="X245" s="167"/>
      <c r="Y245" s="168"/>
      <c r="Z245" s="168"/>
      <c r="AA245" s="168"/>
      <c r="AB245" s="168"/>
      <c r="AC245" s="168"/>
      <c r="AD245" s="168"/>
      <c r="AE245" s="168"/>
    </row>
    <row r="246" spans="1:256" s="141" customFormat="1" x14ac:dyDescent="0.25">
      <c r="A246" s="138">
        <v>23.2</v>
      </c>
      <c r="B246" s="165" t="s">
        <v>417</v>
      </c>
      <c r="C246" s="110">
        <v>2320230</v>
      </c>
      <c r="D246" s="80" t="s">
        <v>166</v>
      </c>
      <c r="E246" s="80"/>
      <c r="F246" s="114">
        <v>112</v>
      </c>
      <c r="G246" s="81" t="s">
        <v>165</v>
      </c>
      <c r="H246" s="81">
        <v>4600</v>
      </c>
      <c r="I246" s="151">
        <v>98401</v>
      </c>
      <c r="J246" s="83" t="s">
        <v>429</v>
      </c>
      <c r="K246" s="83">
        <v>161000</v>
      </c>
      <c r="L246" s="83"/>
      <c r="M246" s="83"/>
      <c r="N246" s="83"/>
      <c r="O246" s="83"/>
      <c r="P246" s="83"/>
      <c r="Q246" s="83"/>
      <c r="R246" s="83">
        <v>4600</v>
      </c>
      <c r="S246" s="83">
        <v>161000</v>
      </c>
      <c r="T246" s="83"/>
      <c r="U246" s="83"/>
      <c r="V246" s="83"/>
      <c r="W246" s="83"/>
      <c r="X246" s="167"/>
      <c r="Y246" s="168"/>
      <c r="Z246" s="168"/>
      <c r="AA246" s="168"/>
      <c r="AB246" s="168"/>
      <c r="AC246" s="168"/>
      <c r="AD246" s="168"/>
      <c r="AE246" s="168"/>
    </row>
    <row r="247" spans="1:256" s="141" customFormat="1" x14ac:dyDescent="0.25">
      <c r="A247" s="138">
        <v>23.3</v>
      </c>
      <c r="B247" s="165" t="s">
        <v>417</v>
      </c>
      <c r="C247" s="110">
        <v>2320230</v>
      </c>
      <c r="D247" s="80" t="s">
        <v>167</v>
      </c>
      <c r="E247" s="80"/>
      <c r="F247" s="114">
        <v>112</v>
      </c>
      <c r="G247" s="81" t="s">
        <v>165</v>
      </c>
      <c r="H247" s="81">
        <v>1000</v>
      </c>
      <c r="I247" s="151">
        <v>98401</v>
      </c>
      <c r="J247" s="83" t="s">
        <v>429</v>
      </c>
      <c r="K247" s="83">
        <v>35000</v>
      </c>
      <c r="L247" s="83"/>
      <c r="M247" s="83"/>
      <c r="N247" s="83"/>
      <c r="O247" s="83"/>
      <c r="P247" s="83"/>
      <c r="Q247" s="83"/>
      <c r="R247" s="83">
        <v>1000</v>
      </c>
      <c r="S247" s="83">
        <v>35000</v>
      </c>
      <c r="T247" s="83"/>
      <c r="U247" s="83"/>
      <c r="V247" s="83"/>
      <c r="W247" s="83"/>
      <c r="X247" s="167"/>
      <c r="Y247" s="168"/>
      <c r="Z247" s="168"/>
      <c r="AA247" s="168"/>
      <c r="AB247" s="168"/>
      <c r="AC247" s="168"/>
      <c r="AD247" s="168"/>
      <c r="AE247" s="168"/>
    </row>
    <row r="248" spans="1:256" s="141" customFormat="1" x14ac:dyDescent="0.25">
      <c r="A248" s="138"/>
      <c r="B248" s="165"/>
      <c r="C248" s="110"/>
      <c r="D248" s="80"/>
      <c r="E248" s="80"/>
      <c r="F248" s="114"/>
      <c r="G248" s="178"/>
      <c r="H248" s="81"/>
      <c r="I248" s="169"/>
      <c r="J248" s="83"/>
      <c r="K248" s="59">
        <v>1081500</v>
      </c>
      <c r="L248" s="59"/>
      <c r="M248" s="59"/>
      <c r="N248" s="59"/>
      <c r="O248" s="59"/>
      <c r="P248" s="83"/>
      <c r="Q248" s="170">
        <v>0</v>
      </c>
      <c r="R248" s="83"/>
      <c r="S248" s="170">
        <v>1081500</v>
      </c>
      <c r="T248" s="83"/>
      <c r="U248" s="170">
        <v>0</v>
      </c>
      <c r="V248" s="83"/>
      <c r="W248" s="170">
        <v>0</v>
      </c>
      <c r="X248" s="167"/>
      <c r="Y248" s="168"/>
      <c r="Z248" s="168"/>
      <c r="AA248" s="168"/>
      <c r="AB248" s="168"/>
      <c r="AC248" s="168"/>
      <c r="AD248" s="168"/>
      <c r="AE248" s="168"/>
    </row>
    <row r="249" spans="1:256" s="164" customFormat="1" ht="14.25" x14ac:dyDescent="0.2">
      <c r="A249" s="140">
        <v>24</v>
      </c>
      <c r="B249" s="156"/>
      <c r="C249" s="157"/>
      <c r="D249" s="158" t="s">
        <v>168</v>
      </c>
      <c r="E249" s="158"/>
      <c r="F249" s="159"/>
      <c r="G249" s="160"/>
      <c r="H249" s="160"/>
      <c r="I249" s="161"/>
      <c r="J249" s="162"/>
      <c r="K249" s="162"/>
      <c r="L249" s="162"/>
      <c r="M249" s="162"/>
      <c r="N249" s="162"/>
      <c r="O249" s="162"/>
      <c r="P249" s="162"/>
      <c r="Q249" s="162"/>
      <c r="R249" s="162"/>
      <c r="S249" s="162"/>
      <c r="T249" s="162"/>
      <c r="U249" s="162"/>
      <c r="V249" s="162"/>
      <c r="W249" s="162"/>
      <c r="X249" s="163"/>
      <c r="Y249" s="140"/>
      <c r="Z249" s="156"/>
      <c r="AA249" s="157"/>
      <c r="AB249" s="158"/>
      <c r="AC249" s="158"/>
      <c r="AD249" s="159"/>
      <c r="AE249" s="160"/>
      <c r="AF249" s="160"/>
      <c r="AG249" s="162"/>
      <c r="AH249" s="162"/>
      <c r="AI249" s="162"/>
      <c r="AJ249" s="162"/>
      <c r="AK249" s="162"/>
      <c r="AL249" s="162"/>
      <c r="AM249" s="162"/>
      <c r="AN249" s="162"/>
      <c r="AO249" s="162"/>
      <c r="AP249" s="162"/>
      <c r="AQ249" s="162"/>
      <c r="AR249" s="162"/>
      <c r="AS249" s="162"/>
      <c r="AT249" s="162"/>
      <c r="AU249" s="162"/>
      <c r="AV249" s="163"/>
      <c r="AW249" s="140"/>
      <c r="AX249" s="156"/>
      <c r="AY249" s="157"/>
      <c r="AZ249" s="158"/>
      <c r="BA249" s="158"/>
      <c r="BB249" s="159"/>
      <c r="BC249" s="160"/>
      <c r="BD249" s="160"/>
      <c r="BE249" s="162"/>
      <c r="BF249" s="162"/>
      <c r="BG249" s="162"/>
      <c r="BH249" s="162"/>
      <c r="BI249" s="162"/>
      <c r="BJ249" s="162"/>
      <c r="BK249" s="162"/>
      <c r="BL249" s="162"/>
      <c r="BM249" s="162"/>
      <c r="BN249" s="162"/>
      <c r="BO249" s="162"/>
      <c r="BP249" s="162"/>
      <c r="BQ249" s="162"/>
      <c r="BR249" s="162"/>
      <c r="BS249" s="162"/>
      <c r="BT249" s="163"/>
      <c r="BU249" s="140"/>
      <c r="BV249" s="156"/>
      <c r="BW249" s="157"/>
      <c r="BX249" s="158"/>
      <c r="BY249" s="158"/>
      <c r="BZ249" s="159"/>
      <c r="CA249" s="160"/>
      <c r="CB249" s="160"/>
      <c r="CC249" s="162"/>
      <c r="CD249" s="162"/>
      <c r="CE249" s="162"/>
      <c r="CF249" s="162"/>
      <c r="CG249" s="162"/>
      <c r="CH249" s="162"/>
      <c r="CI249" s="162"/>
      <c r="CJ249" s="162"/>
      <c r="CK249" s="162"/>
      <c r="CL249" s="162"/>
      <c r="CM249" s="162"/>
      <c r="CN249" s="162"/>
      <c r="CO249" s="162"/>
      <c r="CP249" s="162"/>
      <c r="CQ249" s="162"/>
      <c r="CR249" s="163"/>
      <c r="CS249" s="140"/>
      <c r="CT249" s="156"/>
      <c r="CU249" s="157"/>
      <c r="CV249" s="158"/>
      <c r="CW249" s="158"/>
      <c r="CX249" s="159"/>
      <c r="CY249" s="160"/>
      <c r="CZ249" s="160"/>
      <c r="DA249" s="162"/>
      <c r="DB249" s="162"/>
      <c r="DC249" s="162"/>
      <c r="DD249" s="162"/>
      <c r="DE249" s="162"/>
      <c r="DF249" s="162"/>
      <c r="DG249" s="162"/>
      <c r="DH249" s="162"/>
      <c r="DI249" s="162"/>
      <c r="DJ249" s="162"/>
      <c r="DK249" s="162"/>
      <c r="DL249" s="162"/>
      <c r="DM249" s="162"/>
      <c r="DN249" s="162"/>
      <c r="DO249" s="162"/>
      <c r="DP249" s="163"/>
      <c r="DQ249" s="140"/>
      <c r="DR249" s="156"/>
      <c r="DS249" s="157"/>
      <c r="DT249" s="158"/>
      <c r="DU249" s="158"/>
      <c r="DV249" s="159"/>
      <c r="DW249" s="160"/>
      <c r="DX249" s="160"/>
      <c r="DY249" s="162"/>
      <c r="DZ249" s="162"/>
      <c r="EA249" s="162"/>
      <c r="EB249" s="162"/>
      <c r="EC249" s="162"/>
      <c r="ED249" s="162"/>
      <c r="EE249" s="162"/>
      <c r="EF249" s="162"/>
      <c r="EG249" s="162"/>
      <c r="EH249" s="162"/>
      <c r="EI249" s="162"/>
      <c r="EJ249" s="162"/>
      <c r="EK249" s="162"/>
      <c r="EL249" s="162"/>
      <c r="EM249" s="162"/>
      <c r="EN249" s="163"/>
      <c r="EO249" s="140"/>
      <c r="EP249" s="156"/>
      <c r="EQ249" s="157"/>
      <c r="ER249" s="158"/>
      <c r="ES249" s="158"/>
      <c r="ET249" s="159"/>
      <c r="EU249" s="160"/>
      <c r="EV249" s="160"/>
      <c r="EW249" s="162"/>
      <c r="EX249" s="162"/>
      <c r="EY249" s="162"/>
      <c r="EZ249" s="162"/>
      <c r="FA249" s="162"/>
      <c r="FB249" s="162"/>
      <c r="FC249" s="162"/>
      <c r="FD249" s="162"/>
      <c r="FE249" s="162"/>
      <c r="FF249" s="162"/>
      <c r="FG249" s="162"/>
      <c r="FH249" s="162"/>
      <c r="FI249" s="162"/>
      <c r="FJ249" s="162"/>
      <c r="FK249" s="162"/>
      <c r="FL249" s="163"/>
      <c r="FM249" s="140"/>
      <c r="FN249" s="156"/>
      <c r="FO249" s="157"/>
      <c r="FP249" s="158"/>
      <c r="FQ249" s="158"/>
      <c r="FR249" s="159"/>
      <c r="FS249" s="160"/>
      <c r="FT249" s="160"/>
      <c r="FU249" s="162"/>
      <c r="FV249" s="162"/>
      <c r="FW249" s="162"/>
      <c r="FX249" s="162"/>
      <c r="FY249" s="162"/>
      <c r="FZ249" s="162"/>
      <c r="GA249" s="162"/>
      <c r="GB249" s="162"/>
      <c r="GC249" s="162"/>
      <c r="GD249" s="162"/>
      <c r="GE249" s="162"/>
      <c r="GF249" s="162"/>
      <c r="GG249" s="162"/>
      <c r="GH249" s="162"/>
      <c r="GI249" s="162"/>
      <c r="GJ249" s="163"/>
      <c r="GK249" s="140"/>
      <c r="GL249" s="156"/>
      <c r="GM249" s="157"/>
      <c r="GN249" s="158"/>
      <c r="GO249" s="158"/>
      <c r="GP249" s="159"/>
      <c r="GQ249" s="160"/>
      <c r="GR249" s="160"/>
      <c r="GS249" s="162"/>
      <c r="GT249" s="162"/>
      <c r="GU249" s="162"/>
      <c r="GV249" s="162"/>
      <c r="GW249" s="162"/>
      <c r="GX249" s="162"/>
      <c r="GY249" s="162"/>
      <c r="GZ249" s="162"/>
      <c r="HA249" s="162"/>
      <c r="HB249" s="162"/>
      <c r="HC249" s="162"/>
      <c r="HD249" s="162"/>
      <c r="HE249" s="162"/>
      <c r="HF249" s="162"/>
      <c r="HG249" s="162"/>
      <c r="HH249" s="163"/>
      <c r="HI249" s="140"/>
      <c r="HJ249" s="156"/>
      <c r="HK249" s="157"/>
      <c r="HL249" s="158"/>
      <c r="HM249" s="158"/>
      <c r="HN249" s="159"/>
      <c r="HO249" s="160"/>
      <c r="HP249" s="160"/>
      <c r="HQ249" s="162"/>
      <c r="HR249" s="162"/>
      <c r="HS249" s="162"/>
      <c r="HT249" s="162"/>
      <c r="HU249" s="162"/>
      <c r="HV249" s="162"/>
      <c r="HW249" s="162"/>
      <c r="HX249" s="162"/>
      <c r="HY249" s="162"/>
      <c r="HZ249" s="162"/>
      <c r="IA249" s="162"/>
      <c r="IB249" s="162"/>
      <c r="IC249" s="162"/>
      <c r="ID249" s="162"/>
      <c r="IE249" s="162"/>
      <c r="IF249" s="163"/>
      <c r="IG249" s="140"/>
      <c r="IH249" s="156"/>
      <c r="II249" s="157"/>
      <c r="IJ249" s="158"/>
      <c r="IK249" s="158"/>
      <c r="IL249" s="159"/>
      <c r="IM249" s="160"/>
      <c r="IN249" s="160"/>
      <c r="IO249" s="162"/>
      <c r="IP249" s="162"/>
      <c r="IQ249" s="162"/>
      <c r="IR249" s="162"/>
      <c r="IS249" s="162"/>
      <c r="IT249" s="162"/>
      <c r="IU249" s="162"/>
      <c r="IV249" s="162"/>
    </row>
    <row r="250" spans="1:256" s="141" customFormat="1" x14ac:dyDescent="0.25">
      <c r="A250" s="138">
        <v>24.1</v>
      </c>
      <c r="B250" s="165" t="s">
        <v>418</v>
      </c>
      <c r="C250" s="110">
        <v>3612000</v>
      </c>
      <c r="D250" s="172" t="s">
        <v>169</v>
      </c>
      <c r="E250" s="172"/>
      <c r="F250" s="110">
        <v>796</v>
      </c>
      <c r="G250" s="81" t="s">
        <v>17</v>
      </c>
      <c r="H250" s="81">
        <v>51</v>
      </c>
      <c r="I250" s="151">
        <v>98401</v>
      </c>
      <c r="J250" s="83" t="s">
        <v>429</v>
      </c>
      <c r="K250" s="83">
        <v>450600</v>
      </c>
      <c r="L250" s="83"/>
      <c r="M250" s="83"/>
      <c r="N250" s="83"/>
      <c r="O250" s="83"/>
      <c r="P250" s="83"/>
      <c r="Q250" s="83"/>
      <c r="R250" s="83">
        <v>11</v>
      </c>
      <c r="S250" s="83">
        <v>50600</v>
      </c>
      <c r="T250" s="83">
        <v>20</v>
      </c>
      <c r="U250" s="83">
        <v>200000</v>
      </c>
      <c r="V250" s="83">
        <v>20</v>
      </c>
      <c r="W250" s="83">
        <v>200000</v>
      </c>
      <c r="X250" s="167"/>
      <c r="Y250" s="168"/>
      <c r="Z250" s="168"/>
      <c r="AA250" s="168"/>
      <c r="AB250" s="168"/>
      <c r="AC250" s="168"/>
      <c r="AD250" s="168"/>
      <c r="AE250" s="168"/>
    </row>
    <row r="251" spans="1:256" s="141" customFormat="1" x14ac:dyDescent="0.25">
      <c r="A251" s="138">
        <v>24.2</v>
      </c>
      <c r="B251" s="165" t="s">
        <v>418</v>
      </c>
      <c r="C251" s="110">
        <v>3612000</v>
      </c>
      <c r="D251" s="172" t="s">
        <v>170</v>
      </c>
      <c r="E251" s="172"/>
      <c r="F251" s="110">
        <v>796</v>
      </c>
      <c r="G251" s="81" t="s">
        <v>17</v>
      </c>
      <c r="H251" s="81">
        <v>144</v>
      </c>
      <c r="I251" s="151">
        <v>98401</v>
      </c>
      <c r="J251" s="83" t="s">
        <v>429</v>
      </c>
      <c r="K251" s="83">
        <v>506000</v>
      </c>
      <c r="L251" s="83"/>
      <c r="M251" s="83"/>
      <c r="N251" s="83"/>
      <c r="O251" s="83"/>
      <c r="P251" s="83"/>
      <c r="Q251" s="83"/>
      <c r="R251" s="83">
        <v>64</v>
      </c>
      <c r="S251" s="83">
        <v>96000</v>
      </c>
      <c r="T251" s="83">
        <v>50</v>
      </c>
      <c r="U251" s="83">
        <v>320000</v>
      </c>
      <c r="V251" s="83">
        <v>30</v>
      </c>
      <c r="W251" s="83">
        <v>90000</v>
      </c>
      <c r="X251" s="167"/>
      <c r="Y251" s="168"/>
      <c r="Z251" s="168"/>
      <c r="AA251" s="168"/>
      <c r="AB251" s="168"/>
      <c r="AC251" s="168"/>
      <c r="AD251" s="168"/>
      <c r="AE251" s="168"/>
    </row>
    <row r="252" spans="1:256" s="141" customFormat="1" x14ac:dyDescent="0.25">
      <c r="A252" s="138">
        <v>24.3</v>
      </c>
      <c r="B252" s="165" t="s">
        <v>418</v>
      </c>
      <c r="C252" s="110">
        <v>3612000</v>
      </c>
      <c r="D252" s="172" t="s">
        <v>338</v>
      </c>
      <c r="E252" s="172"/>
      <c r="F252" s="110">
        <v>796</v>
      </c>
      <c r="G252" s="81" t="s">
        <v>17</v>
      </c>
      <c r="H252" s="81">
        <v>86</v>
      </c>
      <c r="I252" s="151">
        <v>98401</v>
      </c>
      <c r="J252" s="83" t="s">
        <v>429</v>
      </c>
      <c r="K252" s="83">
        <v>586800</v>
      </c>
      <c r="L252" s="83"/>
      <c r="M252" s="83"/>
      <c r="N252" s="83"/>
      <c r="O252" s="83"/>
      <c r="P252" s="83"/>
      <c r="Q252" s="83"/>
      <c r="R252" s="83">
        <v>2</v>
      </c>
      <c r="S252" s="83">
        <v>4800</v>
      </c>
      <c r="T252" s="83">
        <v>54</v>
      </c>
      <c r="U252" s="83">
        <v>432000</v>
      </c>
      <c r="V252" s="83">
        <v>30</v>
      </c>
      <c r="W252" s="83">
        <v>150000</v>
      </c>
      <c r="X252" s="167"/>
      <c r="Y252" s="168"/>
      <c r="Z252" s="168"/>
      <c r="AA252" s="168"/>
      <c r="AB252" s="168"/>
      <c r="AC252" s="168"/>
      <c r="AD252" s="168"/>
      <c r="AE252" s="168"/>
    </row>
    <row r="253" spans="1:256" s="141" customFormat="1" x14ac:dyDescent="0.25">
      <c r="A253" s="138">
        <v>24.4</v>
      </c>
      <c r="B253" s="165" t="s">
        <v>418</v>
      </c>
      <c r="C253" s="110">
        <v>3612000</v>
      </c>
      <c r="D253" s="172" t="s">
        <v>171</v>
      </c>
      <c r="E253" s="172"/>
      <c r="F253" s="110">
        <v>796</v>
      </c>
      <c r="G253" s="81" t="s">
        <v>17</v>
      </c>
      <c r="H253" s="81">
        <v>25</v>
      </c>
      <c r="I253" s="151">
        <v>98401</v>
      </c>
      <c r="J253" s="83" t="s">
        <v>429</v>
      </c>
      <c r="K253" s="83">
        <v>235000</v>
      </c>
      <c r="L253" s="83"/>
      <c r="M253" s="83"/>
      <c r="N253" s="83"/>
      <c r="O253" s="83"/>
      <c r="P253" s="83"/>
      <c r="Q253" s="83"/>
      <c r="R253" s="83">
        <v>5</v>
      </c>
      <c r="S253" s="83">
        <v>35000</v>
      </c>
      <c r="T253" s="83">
        <v>10</v>
      </c>
      <c r="U253" s="83">
        <v>100000</v>
      </c>
      <c r="V253" s="83">
        <v>10</v>
      </c>
      <c r="W253" s="83">
        <v>100000</v>
      </c>
      <c r="X253" s="167"/>
      <c r="Y253" s="168"/>
      <c r="Z253" s="168"/>
      <c r="AA253" s="168"/>
      <c r="AB253" s="168"/>
      <c r="AC253" s="168"/>
      <c r="AD253" s="168"/>
      <c r="AE253" s="168"/>
    </row>
    <row r="254" spans="1:256" s="141" customFormat="1" x14ac:dyDescent="0.25">
      <c r="A254" s="138">
        <v>24.5</v>
      </c>
      <c r="B254" s="165" t="s">
        <v>418</v>
      </c>
      <c r="C254" s="110">
        <v>3612000</v>
      </c>
      <c r="D254" s="172" t="s">
        <v>172</v>
      </c>
      <c r="E254" s="172"/>
      <c r="F254" s="110">
        <v>796</v>
      </c>
      <c r="G254" s="81" t="s">
        <v>17</v>
      </c>
      <c r="H254" s="81">
        <v>23</v>
      </c>
      <c r="I254" s="151">
        <v>98401</v>
      </c>
      <c r="J254" s="83" t="s">
        <v>429</v>
      </c>
      <c r="K254" s="83">
        <v>199000</v>
      </c>
      <c r="L254" s="83"/>
      <c r="M254" s="83"/>
      <c r="N254" s="83"/>
      <c r="O254" s="83"/>
      <c r="P254" s="83"/>
      <c r="Q254" s="83"/>
      <c r="R254" s="83">
        <v>7</v>
      </c>
      <c r="S254" s="83">
        <v>49000</v>
      </c>
      <c r="T254" s="83">
        <v>10</v>
      </c>
      <c r="U254" s="83">
        <v>60000</v>
      </c>
      <c r="V254" s="83">
        <v>6</v>
      </c>
      <c r="W254" s="83">
        <v>90000</v>
      </c>
      <c r="X254" s="167"/>
      <c r="Y254" s="168"/>
      <c r="Z254" s="168"/>
      <c r="AA254" s="168"/>
      <c r="AB254" s="168"/>
      <c r="AC254" s="168"/>
      <c r="AD254" s="168"/>
      <c r="AE254" s="168"/>
    </row>
    <row r="255" spans="1:256" s="141" customFormat="1" x14ac:dyDescent="0.25">
      <c r="A255" s="138">
        <v>24.6</v>
      </c>
      <c r="B255" s="165" t="s">
        <v>418</v>
      </c>
      <c r="C255" s="110">
        <v>3612000</v>
      </c>
      <c r="D255" s="172" t="s">
        <v>173</v>
      </c>
      <c r="E255" s="172"/>
      <c r="F255" s="110">
        <v>796</v>
      </c>
      <c r="G255" s="81" t="s">
        <v>17</v>
      </c>
      <c r="H255" s="81">
        <v>32</v>
      </c>
      <c r="I255" s="151">
        <v>98401</v>
      </c>
      <c r="J255" s="83" t="s">
        <v>429</v>
      </c>
      <c r="K255" s="83">
        <v>145900</v>
      </c>
      <c r="L255" s="83"/>
      <c r="M255" s="83"/>
      <c r="N255" s="83"/>
      <c r="O255" s="83"/>
      <c r="P255" s="83"/>
      <c r="Q255" s="83"/>
      <c r="R255" s="83">
        <v>11</v>
      </c>
      <c r="S255" s="83">
        <v>52800</v>
      </c>
      <c r="T255" s="83">
        <v>1</v>
      </c>
      <c r="U255" s="83">
        <v>3100</v>
      </c>
      <c r="V255" s="83">
        <v>20</v>
      </c>
      <c r="W255" s="83">
        <v>90000</v>
      </c>
      <c r="X255" s="167"/>
      <c r="Y255" s="168"/>
      <c r="Z255" s="168"/>
      <c r="AA255" s="168"/>
      <c r="AB255" s="168"/>
      <c r="AC255" s="168"/>
      <c r="AD255" s="168"/>
      <c r="AE255" s="168"/>
    </row>
    <row r="256" spans="1:256" s="141" customFormat="1" x14ac:dyDescent="0.25">
      <c r="A256" s="138">
        <v>24.7</v>
      </c>
      <c r="B256" s="165" t="s">
        <v>418</v>
      </c>
      <c r="C256" s="110">
        <v>3612000</v>
      </c>
      <c r="D256" s="172" t="s">
        <v>174</v>
      </c>
      <c r="E256" s="172"/>
      <c r="F256" s="110">
        <v>796</v>
      </c>
      <c r="G256" s="81" t="s">
        <v>17</v>
      </c>
      <c r="H256" s="81">
        <v>11</v>
      </c>
      <c r="I256" s="151">
        <v>98401</v>
      </c>
      <c r="J256" s="83" t="s">
        <v>429</v>
      </c>
      <c r="K256" s="83">
        <v>65000</v>
      </c>
      <c r="L256" s="83"/>
      <c r="M256" s="83"/>
      <c r="N256" s="83"/>
      <c r="O256" s="83"/>
      <c r="P256" s="83"/>
      <c r="Q256" s="83"/>
      <c r="R256" s="83">
        <v>1</v>
      </c>
      <c r="S256" s="83">
        <v>5000</v>
      </c>
      <c r="T256" s="83"/>
      <c r="U256" s="83"/>
      <c r="V256" s="83">
        <v>10</v>
      </c>
      <c r="W256" s="83">
        <v>60000</v>
      </c>
      <c r="X256" s="167"/>
      <c r="Y256" s="168"/>
      <c r="Z256" s="168"/>
      <c r="AA256" s="168"/>
      <c r="AB256" s="168"/>
      <c r="AC256" s="168"/>
      <c r="AD256" s="168"/>
      <c r="AE256" s="168"/>
    </row>
    <row r="257" spans="1:256" s="141" customFormat="1" x14ac:dyDescent="0.25">
      <c r="A257" s="138">
        <v>24.8</v>
      </c>
      <c r="B257" s="165" t="s">
        <v>418</v>
      </c>
      <c r="C257" s="110">
        <v>3612000</v>
      </c>
      <c r="D257" s="172" t="s">
        <v>175</v>
      </c>
      <c r="E257" s="172"/>
      <c r="F257" s="110">
        <v>796</v>
      </c>
      <c r="G257" s="81" t="s">
        <v>17</v>
      </c>
      <c r="H257" s="81">
        <v>5</v>
      </c>
      <c r="I257" s="151">
        <v>98401</v>
      </c>
      <c r="J257" s="83" t="s">
        <v>429</v>
      </c>
      <c r="K257" s="83">
        <v>28000</v>
      </c>
      <c r="L257" s="83"/>
      <c r="M257" s="83"/>
      <c r="N257" s="83"/>
      <c r="O257" s="83"/>
      <c r="P257" s="83"/>
      <c r="Q257" s="83"/>
      <c r="R257" s="83"/>
      <c r="S257" s="83"/>
      <c r="T257" s="83">
        <v>5</v>
      </c>
      <c r="U257" s="83">
        <v>28000</v>
      </c>
      <c r="V257" s="83"/>
      <c r="W257" s="83"/>
      <c r="X257" s="167"/>
      <c r="Y257" s="168"/>
      <c r="Z257" s="168"/>
      <c r="AA257" s="168"/>
      <c r="AB257" s="168"/>
      <c r="AC257" s="168"/>
      <c r="AD257" s="168"/>
      <c r="AE257" s="168"/>
    </row>
    <row r="258" spans="1:256" s="141" customFormat="1" x14ac:dyDescent="0.25">
      <c r="A258" s="138">
        <v>24.9</v>
      </c>
      <c r="B258" s="165" t="s">
        <v>418</v>
      </c>
      <c r="C258" s="110">
        <v>3612000</v>
      </c>
      <c r="D258" s="172" t="s">
        <v>176</v>
      </c>
      <c r="E258" s="172"/>
      <c r="F258" s="110">
        <v>796</v>
      </c>
      <c r="G258" s="81" t="s">
        <v>17</v>
      </c>
      <c r="H258" s="81">
        <v>2</v>
      </c>
      <c r="I258" s="151">
        <v>98401</v>
      </c>
      <c r="J258" s="83" t="s">
        <v>429</v>
      </c>
      <c r="K258" s="83">
        <v>90000</v>
      </c>
      <c r="L258" s="83"/>
      <c r="M258" s="83"/>
      <c r="N258" s="83"/>
      <c r="O258" s="83"/>
      <c r="P258" s="83"/>
      <c r="Q258" s="83"/>
      <c r="R258" s="83"/>
      <c r="S258" s="83"/>
      <c r="T258" s="83">
        <v>2</v>
      </c>
      <c r="U258" s="83">
        <v>90000</v>
      </c>
      <c r="V258" s="83"/>
      <c r="W258" s="83"/>
      <c r="X258" s="167"/>
      <c r="Y258" s="168"/>
      <c r="Z258" s="168"/>
      <c r="AA258" s="168"/>
      <c r="AB258" s="168"/>
      <c r="AC258" s="168"/>
      <c r="AD258" s="168"/>
      <c r="AE258" s="168"/>
    </row>
    <row r="259" spans="1:256" s="141" customFormat="1" x14ac:dyDescent="0.25">
      <c r="A259" s="138">
        <v>24.1</v>
      </c>
      <c r="B259" s="165" t="s">
        <v>418</v>
      </c>
      <c r="C259" s="110">
        <v>3612000</v>
      </c>
      <c r="D259" s="172" t="s">
        <v>329</v>
      </c>
      <c r="E259" s="172"/>
      <c r="F259" s="110">
        <v>796</v>
      </c>
      <c r="G259" s="81" t="s">
        <v>17</v>
      </c>
      <c r="H259" s="81">
        <v>12</v>
      </c>
      <c r="I259" s="151">
        <v>98401</v>
      </c>
      <c r="J259" s="83" t="s">
        <v>429</v>
      </c>
      <c r="K259" s="83">
        <v>61000</v>
      </c>
      <c r="L259" s="83"/>
      <c r="M259" s="83"/>
      <c r="N259" s="83"/>
      <c r="O259" s="83"/>
      <c r="P259" s="83"/>
      <c r="Q259" s="83"/>
      <c r="R259" s="83"/>
      <c r="S259" s="83"/>
      <c r="T259" s="83">
        <v>6</v>
      </c>
      <c r="U259" s="83">
        <v>30500</v>
      </c>
      <c r="V259" s="83">
        <v>6</v>
      </c>
      <c r="W259" s="83">
        <v>30500</v>
      </c>
      <c r="X259" s="167"/>
      <c r="Y259" s="168"/>
      <c r="Z259" s="168"/>
      <c r="AA259" s="168"/>
      <c r="AB259" s="168"/>
      <c r="AC259" s="168"/>
      <c r="AD259" s="168"/>
      <c r="AE259" s="168"/>
    </row>
    <row r="260" spans="1:256" s="141" customFormat="1" x14ac:dyDescent="0.25">
      <c r="A260" s="138"/>
      <c r="B260" s="165"/>
      <c r="C260" s="110"/>
      <c r="D260" s="80"/>
      <c r="E260" s="80"/>
      <c r="F260" s="114"/>
      <c r="G260" s="178"/>
      <c r="H260" s="178"/>
      <c r="I260" s="207"/>
      <c r="J260" s="170"/>
      <c r="K260" s="170">
        <v>2306300</v>
      </c>
      <c r="L260" s="170"/>
      <c r="M260" s="170"/>
      <c r="N260" s="170"/>
      <c r="O260" s="170"/>
      <c r="P260" s="83"/>
      <c r="Q260" s="83"/>
      <c r="R260" s="83"/>
      <c r="S260" s="170">
        <v>293200</v>
      </c>
      <c r="T260" s="170"/>
      <c r="U260" s="170">
        <v>1263600</v>
      </c>
      <c r="V260" s="170"/>
      <c r="W260" s="170">
        <v>810500</v>
      </c>
      <c r="X260" s="167"/>
      <c r="Y260" s="168"/>
      <c r="Z260" s="168"/>
      <c r="AA260" s="168"/>
      <c r="AB260" s="168"/>
      <c r="AC260" s="168"/>
      <c r="AD260" s="168"/>
      <c r="AE260" s="168"/>
    </row>
    <row r="261" spans="1:256" s="164" customFormat="1" ht="28.5" x14ac:dyDescent="0.2">
      <c r="A261" s="140">
        <v>25</v>
      </c>
      <c r="B261" s="156"/>
      <c r="C261" s="157"/>
      <c r="D261" s="158" t="s">
        <v>177</v>
      </c>
      <c r="E261" s="158"/>
      <c r="F261" s="159"/>
      <c r="G261" s="160"/>
      <c r="H261" s="160"/>
      <c r="I261" s="161"/>
      <c r="J261" s="162"/>
      <c r="K261" s="162"/>
      <c r="L261" s="162"/>
      <c r="M261" s="162"/>
      <c r="N261" s="162"/>
      <c r="O261" s="162"/>
      <c r="P261" s="162"/>
      <c r="Q261" s="162"/>
      <c r="R261" s="162"/>
      <c r="S261" s="162"/>
      <c r="T261" s="162"/>
      <c r="U261" s="162"/>
      <c r="V261" s="162"/>
      <c r="W261" s="162"/>
      <c r="X261" s="163"/>
      <c r="Y261" s="140"/>
      <c r="Z261" s="156"/>
      <c r="AA261" s="157"/>
      <c r="AB261" s="158"/>
      <c r="AC261" s="158"/>
      <c r="AD261" s="159"/>
      <c r="AE261" s="160"/>
      <c r="AF261" s="160"/>
      <c r="AG261" s="162"/>
      <c r="AH261" s="162"/>
      <c r="AI261" s="162"/>
      <c r="AJ261" s="162"/>
      <c r="AK261" s="162"/>
      <c r="AL261" s="162"/>
      <c r="AM261" s="162"/>
      <c r="AN261" s="162"/>
      <c r="AO261" s="162"/>
      <c r="AP261" s="162"/>
      <c r="AQ261" s="162"/>
      <c r="AR261" s="162"/>
      <c r="AS261" s="162"/>
      <c r="AT261" s="162"/>
      <c r="AU261" s="162"/>
      <c r="AV261" s="163"/>
      <c r="AW261" s="140"/>
      <c r="AX261" s="156"/>
      <c r="AY261" s="157"/>
      <c r="AZ261" s="158"/>
      <c r="BA261" s="158"/>
      <c r="BB261" s="159"/>
      <c r="BC261" s="160"/>
      <c r="BD261" s="160"/>
      <c r="BE261" s="162"/>
      <c r="BF261" s="162"/>
      <c r="BG261" s="162"/>
      <c r="BH261" s="162"/>
      <c r="BI261" s="162"/>
      <c r="BJ261" s="162"/>
      <c r="BK261" s="162"/>
      <c r="BL261" s="162"/>
      <c r="BM261" s="162"/>
      <c r="BN261" s="162"/>
      <c r="BO261" s="162"/>
      <c r="BP261" s="162"/>
      <c r="BQ261" s="162"/>
      <c r="BR261" s="162"/>
      <c r="BS261" s="162"/>
      <c r="BT261" s="163"/>
      <c r="BU261" s="140"/>
      <c r="BV261" s="156"/>
      <c r="BW261" s="157"/>
      <c r="BX261" s="158"/>
      <c r="BY261" s="158"/>
      <c r="BZ261" s="159"/>
      <c r="CA261" s="160"/>
      <c r="CB261" s="160"/>
      <c r="CC261" s="162"/>
      <c r="CD261" s="162"/>
      <c r="CE261" s="162"/>
      <c r="CF261" s="162"/>
      <c r="CG261" s="162"/>
      <c r="CH261" s="162"/>
      <c r="CI261" s="162"/>
      <c r="CJ261" s="162"/>
      <c r="CK261" s="162"/>
      <c r="CL261" s="162"/>
      <c r="CM261" s="162"/>
      <c r="CN261" s="162"/>
      <c r="CO261" s="162"/>
      <c r="CP261" s="162"/>
      <c r="CQ261" s="162"/>
      <c r="CR261" s="163"/>
      <c r="CS261" s="140"/>
      <c r="CT261" s="156"/>
      <c r="CU261" s="157"/>
      <c r="CV261" s="158"/>
      <c r="CW261" s="158"/>
      <c r="CX261" s="159"/>
      <c r="CY261" s="160"/>
      <c r="CZ261" s="160"/>
      <c r="DA261" s="162"/>
      <c r="DB261" s="162"/>
      <c r="DC261" s="162"/>
      <c r="DD261" s="162"/>
      <c r="DE261" s="162"/>
      <c r="DF261" s="162"/>
      <c r="DG261" s="162"/>
      <c r="DH261" s="162"/>
      <c r="DI261" s="162"/>
      <c r="DJ261" s="162"/>
      <c r="DK261" s="162"/>
      <c r="DL261" s="162"/>
      <c r="DM261" s="162"/>
      <c r="DN261" s="162"/>
      <c r="DO261" s="162"/>
      <c r="DP261" s="163"/>
      <c r="DQ261" s="140"/>
      <c r="DR261" s="156"/>
      <c r="DS261" s="157"/>
      <c r="DT261" s="158"/>
      <c r="DU261" s="158"/>
      <c r="DV261" s="159"/>
      <c r="DW261" s="160"/>
      <c r="DX261" s="160"/>
      <c r="DY261" s="162"/>
      <c r="DZ261" s="162"/>
      <c r="EA261" s="162"/>
      <c r="EB261" s="162"/>
      <c r="EC261" s="162"/>
      <c r="ED261" s="162"/>
      <c r="EE261" s="162"/>
      <c r="EF261" s="162"/>
      <c r="EG261" s="162"/>
      <c r="EH261" s="162"/>
      <c r="EI261" s="162"/>
      <c r="EJ261" s="162"/>
      <c r="EK261" s="162"/>
      <c r="EL261" s="162"/>
      <c r="EM261" s="162"/>
      <c r="EN261" s="163"/>
      <c r="EO261" s="140"/>
      <c r="EP261" s="156"/>
      <c r="EQ261" s="157"/>
      <c r="ER261" s="158"/>
      <c r="ES261" s="158"/>
      <c r="ET261" s="159"/>
      <c r="EU261" s="160"/>
      <c r="EV261" s="160"/>
      <c r="EW261" s="162"/>
      <c r="EX261" s="162"/>
      <c r="EY261" s="162"/>
      <c r="EZ261" s="162"/>
      <c r="FA261" s="162"/>
      <c r="FB261" s="162"/>
      <c r="FC261" s="162"/>
      <c r="FD261" s="162"/>
      <c r="FE261" s="162"/>
      <c r="FF261" s="162"/>
      <c r="FG261" s="162"/>
      <c r="FH261" s="162"/>
      <c r="FI261" s="162"/>
      <c r="FJ261" s="162"/>
      <c r="FK261" s="162"/>
      <c r="FL261" s="163"/>
      <c r="FM261" s="140"/>
      <c r="FN261" s="156"/>
      <c r="FO261" s="157"/>
      <c r="FP261" s="158"/>
      <c r="FQ261" s="158"/>
      <c r="FR261" s="159"/>
      <c r="FS261" s="160"/>
      <c r="FT261" s="160"/>
      <c r="FU261" s="162"/>
      <c r="FV261" s="162"/>
      <c r="FW261" s="162"/>
      <c r="FX261" s="162"/>
      <c r="FY261" s="162"/>
      <c r="FZ261" s="162"/>
      <c r="GA261" s="162"/>
      <c r="GB261" s="162"/>
      <c r="GC261" s="162"/>
      <c r="GD261" s="162"/>
      <c r="GE261" s="162"/>
      <c r="GF261" s="162"/>
      <c r="GG261" s="162"/>
      <c r="GH261" s="162"/>
      <c r="GI261" s="162"/>
      <c r="GJ261" s="163"/>
      <c r="GK261" s="140"/>
      <c r="GL261" s="156"/>
      <c r="GM261" s="157"/>
      <c r="GN261" s="158"/>
      <c r="GO261" s="158"/>
      <c r="GP261" s="159"/>
      <c r="GQ261" s="160"/>
      <c r="GR261" s="160"/>
      <c r="GS261" s="162"/>
      <c r="GT261" s="162"/>
      <c r="GU261" s="162"/>
      <c r="GV261" s="162"/>
      <c r="GW261" s="162"/>
      <c r="GX261" s="162"/>
      <c r="GY261" s="162"/>
      <c r="GZ261" s="162"/>
      <c r="HA261" s="162"/>
      <c r="HB261" s="162"/>
      <c r="HC261" s="162"/>
      <c r="HD261" s="162"/>
      <c r="HE261" s="162"/>
      <c r="HF261" s="162"/>
      <c r="HG261" s="162"/>
      <c r="HH261" s="163"/>
      <c r="HI261" s="140"/>
      <c r="HJ261" s="156"/>
      <c r="HK261" s="157"/>
      <c r="HL261" s="158"/>
      <c r="HM261" s="158"/>
      <c r="HN261" s="159"/>
      <c r="HO261" s="160"/>
      <c r="HP261" s="160"/>
      <c r="HQ261" s="162"/>
      <c r="HR261" s="162"/>
      <c r="HS261" s="162"/>
      <c r="HT261" s="162"/>
      <c r="HU261" s="162"/>
      <c r="HV261" s="162"/>
      <c r="HW261" s="162"/>
      <c r="HX261" s="162"/>
      <c r="HY261" s="162"/>
      <c r="HZ261" s="162"/>
      <c r="IA261" s="162"/>
      <c r="IB261" s="162"/>
      <c r="IC261" s="162"/>
      <c r="ID261" s="162"/>
      <c r="IE261" s="162"/>
      <c r="IF261" s="163"/>
      <c r="IG261" s="140"/>
      <c r="IH261" s="156"/>
      <c r="II261" s="157"/>
      <c r="IJ261" s="158"/>
      <c r="IK261" s="158"/>
      <c r="IL261" s="159"/>
      <c r="IM261" s="160"/>
      <c r="IN261" s="160"/>
      <c r="IO261" s="162"/>
      <c r="IP261" s="162"/>
      <c r="IQ261" s="162"/>
      <c r="IR261" s="162"/>
      <c r="IS261" s="162"/>
      <c r="IT261" s="162"/>
      <c r="IU261" s="162"/>
      <c r="IV261" s="162"/>
    </row>
    <row r="262" spans="1:256" s="141" customFormat="1" x14ac:dyDescent="0.25">
      <c r="A262" s="138">
        <v>25.1</v>
      </c>
      <c r="B262" s="165" t="s">
        <v>410</v>
      </c>
      <c r="C262" s="110">
        <v>5235020</v>
      </c>
      <c r="D262" s="80" t="s">
        <v>178</v>
      </c>
      <c r="E262" s="80"/>
      <c r="F262" s="110">
        <v>796</v>
      </c>
      <c r="G262" s="81" t="s">
        <v>17</v>
      </c>
      <c r="H262" s="81">
        <v>12</v>
      </c>
      <c r="I262" s="151">
        <v>98401</v>
      </c>
      <c r="J262" s="83" t="s">
        <v>429</v>
      </c>
      <c r="K262" s="83">
        <v>736900</v>
      </c>
      <c r="L262" s="83"/>
      <c r="M262" s="83"/>
      <c r="N262" s="83"/>
      <c r="O262" s="83"/>
      <c r="P262" s="83">
        <v>12</v>
      </c>
      <c r="Q262" s="83">
        <v>480000</v>
      </c>
      <c r="R262" s="83"/>
      <c r="S262" s="83"/>
      <c r="T262" s="83">
        <v>1</v>
      </c>
      <c r="U262" s="83">
        <v>36900</v>
      </c>
      <c r="V262" s="83">
        <v>4</v>
      </c>
      <c r="W262" s="83">
        <v>220000</v>
      </c>
      <c r="X262" s="167"/>
      <c r="Y262" s="168"/>
      <c r="Z262" s="168"/>
      <c r="AA262" s="168"/>
      <c r="AB262" s="168"/>
      <c r="AC262" s="168"/>
      <c r="AD262" s="168"/>
      <c r="AE262" s="168"/>
    </row>
    <row r="263" spans="1:256" s="141" customFormat="1" x14ac:dyDescent="0.25">
      <c r="A263" s="138">
        <v>25.2</v>
      </c>
      <c r="B263" s="165" t="s">
        <v>410</v>
      </c>
      <c r="C263" s="110">
        <v>5235020</v>
      </c>
      <c r="D263" s="80" t="s">
        <v>179</v>
      </c>
      <c r="E263" s="80"/>
      <c r="F263" s="110">
        <v>796</v>
      </c>
      <c r="G263" s="81" t="s">
        <v>17</v>
      </c>
      <c r="H263" s="81">
        <v>7</v>
      </c>
      <c r="I263" s="151">
        <v>98401</v>
      </c>
      <c r="J263" s="83" t="s">
        <v>429</v>
      </c>
      <c r="K263" s="83">
        <v>226450</v>
      </c>
      <c r="L263" s="83"/>
      <c r="M263" s="83"/>
      <c r="N263" s="83"/>
      <c r="O263" s="83"/>
      <c r="P263" s="83">
        <v>1</v>
      </c>
      <c r="Q263" s="83">
        <v>36500</v>
      </c>
      <c r="R263" s="83">
        <v>1</v>
      </c>
      <c r="S263" s="83">
        <v>36500</v>
      </c>
      <c r="T263" s="83">
        <v>3</v>
      </c>
      <c r="U263" s="83">
        <v>80450</v>
      </c>
      <c r="V263" s="83">
        <v>2</v>
      </c>
      <c r="W263" s="83">
        <v>73000</v>
      </c>
      <c r="X263" s="167"/>
      <c r="Y263" s="168"/>
      <c r="Z263" s="168"/>
      <c r="AA263" s="168"/>
      <c r="AB263" s="168"/>
      <c r="AC263" s="168"/>
      <c r="AD263" s="168"/>
      <c r="AE263" s="168"/>
    </row>
    <row r="264" spans="1:256" s="141" customFormat="1" x14ac:dyDescent="0.25">
      <c r="A264" s="138">
        <v>25.3</v>
      </c>
      <c r="B264" s="165" t="s">
        <v>410</v>
      </c>
      <c r="C264" s="110">
        <v>5235020</v>
      </c>
      <c r="D264" s="80" t="s">
        <v>180</v>
      </c>
      <c r="E264" s="80"/>
      <c r="F264" s="110">
        <v>796</v>
      </c>
      <c r="G264" s="81" t="s">
        <v>17</v>
      </c>
      <c r="H264" s="81">
        <v>5</v>
      </c>
      <c r="I264" s="151">
        <v>98401</v>
      </c>
      <c r="J264" s="83" t="s">
        <v>429</v>
      </c>
      <c r="K264" s="83">
        <v>40000</v>
      </c>
      <c r="L264" s="83"/>
      <c r="M264" s="83"/>
      <c r="N264" s="83"/>
      <c r="O264" s="83"/>
      <c r="P264" s="83">
        <v>5</v>
      </c>
      <c r="Q264" s="83">
        <v>40000</v>
      </c>
      <c r="R264" s="83"/>
      <c r="S264" s="83"/>
      <c r="T264" s="83"/>
      <c r="U264" s="83"/>
      <c r="V264" s="83"/>
      <c r="W264" s="83"/>
      <c r="X264" s="167"/>
      <c r="Y264" s="168"/>
      <c r="Z264" s="168"/>
      <c r="AA264" s="168"/>
      <c r="AB264" s="168"/>
      <c r="AC264" s="168"/>
      <c r="AD264" s="168"/>
      <c r="AE264" s="168"/>
    </row>
    <row r="265" spans="1:256" s="141" customFormat="1" x14ac:dyDescent="0.25">
      <c r="A265" s="138">
        <v>25.4</v>
      </c>
      <c r="B265" s="165" t="s">
        <v>410</v>
      </c>
      <c r="C265" s="110">
        <v>5235020</v>
      </c>
      <c r="D265" s="80" t="s">
        <v>181</v>
      </c>
      <c r="E265" s="80"/>
      <c r="F265" s="110">
        <v>796</v>
      </c>
      <c r="G265" s="81" t="s">
        <v>17</v>
      </c>
      <c r="H265" s="81">
        <v>2</v>
      </c>
      <c r="I265" s="151">
        <v>98401</v>
      </c>
      <c r="J265" s="83" t="s">
        <v>429</v>
      </c>
      <c r="K265" s="83">
        <v>500000</v>
      </c>
      <c r="L265" s="83"/>
      <c r="M265" s="83"/>
      <c r="N265" s="83"/>
      <c r="O265" s="83"/>
      <c r="P265" s="83"/>
      <c r="Q265" s="83"/>
      <c r="R265" s="83"/>
      <c r="S265" s="83"/>
      <c r="T265" s="83">
        <v>2</v>
      </c>
      <c r="U265" s="83">
        <v>500000</v>
      </c>
      <c r="V265" s="83"/>
      <c r="W265" s="83"/>
      <c r="X265" s="167"/>
      <c r="Y265" s="168"/>
      <c r="Z265" s="168"/>
      <c r="AA265" s="168"/>
      <c r="AB265" s="168"/>
      <c r="AC265" s="168"/>
      <c r="AD265" s="168"/>
      <c r="AE265" s="168"/>
    </row>
    <row r="266" spans="1:256" s="141" customFormat="1" x14ac:dyDescent="0.25">
      <c r="A266" s="138">
        <v>25.5</v>
      </c>
      <c r="B266" s="165" t="s">
        <v>410</v>
      </c>
      <c r="C266" s="110">
        <v>5235020</v>
      </c>
      <c r="D266" s="80" t="s">
        <v>182</v>
      </c>
      <c r="E266" s="80"/>
      <c r="F266" s="110">
        <v>796</v>
      </c>
      <c r="G266" s="81" t="s">
        <v>17</v>
      </c>
      <c r="H266" s="81">
        <v>2</v>
      </c>
      <c r="I266" s="151">
        <v>98401</v>
      </c>
      <c r="J266" s="83" t="s">
        <v>429</v>
      </c>
      <c r="K266" s="83">
        <v>120980</v>
      </c>
      <c r="L266" s="83"/>
      <c r="M266" s="83"/>
      <c r="N266" s="83"/>
      <c r="O266" s="83"/>
      <c r="P266" s="83">
        <v>2</v>
      </c>
      <c r="Q266" s="83">
        <v>16000</v>
      </c>
      <c r="R266" s="83"/>
      <c r="S266" s="83"/>
      <c r="T266" s="83">
        <v>2</v>
      </c>
      <c r="U266" s="83">
        <v>33980</v>
      </c>
      <c r="V266" s="83">
        <v>5</v>
      </c>
      <c r="W266" s="83">
        <v>71000</v>
      </c>
      <c r="X266" s="167"/>
      <c r="Y266" s="168"/>
      <c r="Z266" s="168"/>
      <c r="AA266" s="168"/>
      <c r="AB266" s="168"/>
      <c r="AC266" s="168"/>
      <c r="AD266" s="168"/>
      <c r="AE266" s="168"/>
    </row>
    <row r="267" spans="1:256" s="141" customFormat="1" x14ac:dyDescent="0.25">
      <c r="A267" s="138">
        <v>25.6</v>
      </c>
      <c r="B267" s="165" t="s">
        <v>410</v>
      </c>
      <c r="C267" s="110">
        <v>5235020</v>
      </c>
      <c r="D267" s="80" t="s">
        <v>183</v>
      </c>
      <c r="E267" s="80"/>
      <c r="F267" s="110">
        <v>796</v>
      </c>
      <c r="G267" s="81" t="s">
        <v>17</v>
      </c>
      <c r="H267" s="81">
        <v>7</v>
      </c>
      <c r="I267" s="151">
        <v>98401</v>
      </c>
      <c r="J267" s="83" t="s">
        <v>429</v>
      </c>
      <c r="K267" s="83">
        <v>169190</v>
      </c>
      <c r="L267" s="83"/>
      <c r="M267" s="83"/>
      <c r="N267" s="83"/>
      <c r="O267" s="83"/>
      <c r="P267" s="83">
        <v>2</v>
      </c>
      <c r="Q267" s="83">
        <v>40000</v>
      </c>
      <c r="R267" s="83">
        <v>5</v>
      </c>
      <c r="S267" s="83">
        <v>100000</v>
      </c>
      <c r="T267" s="83">
        <v>1</v>
      </c>
      <c r="U267" s="83">
        <v>9190</v>
      </c>
      <c r="V267" s="83">
        <v>1</v>
      </c>
      <c r="W267" s="83">
        <v>20000</v>
      </c>
      <c r="X267" s="167"/>
      <c r="Y267" s="168"/>
      <c r="Z267" s="168"/>
      <c r="AA267" s="168"/>
      <c r="AB267" s="168"/>
      <c r="AC267" s="168"/>
      <c r="AD267" s="168"/>
      <c r="AE267" s="168"/>
    </row>
    <row r="268" spans="1:256" s="141" customFormat="1" x14ac:dyDescent="0.25">
      <c r="A268" s="138">
        <v>25.7</v>
      </c>
      <c r="B268" s="165" t="s">
        <v>410</v>
      </c>
      <c r="C268" s="110">
        <v>5235020</v>
      </c>
      <c r="D268" s="80" t="s">
        <v>184</v>
      </c>
      <c r="E268" s="80"/>
      <c r="F268" s="110">
        <v>796</v>
      </c>
      <c r="G268" s="81" t="s">
        <v>17</v>
      </c>
      <c r="H268" s="81">
        <v>4</v>
      </c>
      <c r="I268" s="151">
        <v>98401</v>
      </c>
      <c r="J268" s="83" t="s">
        <v>429</v>
      </c>
      <c r="K268" s="83">
        <v>600000</v>
      </c>
      <c r="L268" s="208"/>
      <c r="M268" s="208"/>
      <c r="N268" s="208"/>
      <c r="O268" s="208"/>
      <c r="Q268" s="191"/>
      <c r="R268" s="83">
        <v>1</v>
      </c>
      <c r="S268" s="83">
        <v>50000</v>
      </c>
      <c r="T268" s="83">
        <v>1</v>
      </c>
      <c r="U268" s="83">
        <v>50000</v>
      </c>
      <c r="V268" s="83">
        <v>2</v>
      </c>
      <c r="W268" s="83">
        <v>500000</v>
      </c>
      <c r="X268" s="167"/>
      <c r="Y268" s="168"/>
      <c r="Z268" s="168"/>
      <c r="AA268" s="168"/>
      <c r="AB268" s="168"/>
      <c r="AC268" s="168"/>
      <c r="AD268" s="168"/>
      <c r="AE268" s="168"/>
    </row>
    <row r="269" spans="1:256" s="141" customFormat="1" x14ac:dyDescent="0.25">
      <c r="A269" s="138">
        <v>25.8</v>
      </c>
      <c r="B269" s="165" t="s">
        <v>410</v>
      </c>
      <c r="C269" s="110">
        <v>5235020</v>
      </c>
      <c r="D269" s="80" t="s">
        <v>185</v>
      </c>
      <c r="E269" s="80"/>
      <c r="F269" s="110">
        <v>796</v>
      </c>
      <c r="G269" s="81" t="s">
        <v>17</v>
      </c>
      <c r="H269" s="81">
        <v>2</v>
      </c>
      <c r="I269" s="151">
        <v>98401</v>
      </c>
      <c r="J269" s="83" t="s">
        <v>429</v>
      </c>
      <c r="K269" s="83">
        <v>365000</v>
      </c>
      <c r="L269" s="83"/>
      <c r="M269" s="83"/>
      <c r="N269" s="83"/>
      <c r="O269" s="83"/>
      <c r="P269" s="83"/>
      <c r="Q269" s="83"/>
      <c r="R269" s="83">
        <v>1</v>
      </c>
      <c r="S269" s="83">
        <v>70000</v>
      </c>
      <c r="T269" s="83">
        <v>1</v>
      </c>
      <c r="U269" s="83">
        <v>100000</v>
      </c>
      <c r="V269" s="83">
        <v>3</v>
      </c>
      <c r="W269" s="83">
        <v>195000</v>
      </c>
      <c r="X269" s="167"/>
      <c r="Y269" s="168"/>
      <c r="Z269" s="168"/>
      <c r="AA269" s="168"/>
      <c r="AB269" s="168"/>
      <c r="AC269" s="168"/>
      <c r="AD269" s="168"/>
      <c r="AE269" s="168"/>
    </row>
    <row r="270" spans="1:256" s="141" customFormat="1" x14ac:dyDescent="0.25">
      <c r="A270" s="138">
        <v>25.9</v>
      </c>
      <c r="B270" s="165" t="s">
        <v>410</v>
      </c>
      <c r="C270" s="110">
        <v>5235020</v>
      </c>
      <c r="D270" s="80" t="s">
        <v>186</v>
      </c>
      <c r="E270" s="80"/>
      <c r="F270" s="110">
        <v>796</v>
      </c>
      <c r="G270" s="81" t="s">
        <v>17</v>
      </c>
      <c r="H270" s="81">
        <v>6</v>
      </c>
      <c r="I270" s="151">
        <v>98401</v>
      </c>
      <c r="J270" s="83" t="s">
        <v>429</v>
      </c>
      <c r="K270" s="83">
        <v>138910</v>
      </c>
      <c r="L270" s="83"/>
      <c r="M270" s="83"/>
      <c r="N270" s="83"/>
      <c r="O270" s="83"/>
      <c r="P270" s="83"/>
      <c r="Q270" s="83"/>
      <c r="R270" s="83">
        <v>2</v>
      </c>
      <c r="S270" s="83">
        <v>30000</v>
      </c>
      <c r="T270" s="83">
        <v>5</v>
      </c>
      <c r="U270" s="83">
        <v>51910</v>
      </c>
      <c r="V270" s="83">
        <v>3</v>
      </c>
      <c r="W270" s="83">
        <v>57000</v>
      </c>
      <c r="X270" s="167"/>
      <c r="Y270" s="168"/>
      <c r="Z270" s="168"/>
      <c r="AA270" s="168"/>
      <c r="AB270" s="168"/>
      <c r="AC270" s="168"/>
      <c r="AD270" s="168"/>
      <c r="AE270" s="168"/>
    </row>
    <row r="271" spans="1:256" s="141" customFormat="1" x14ac:dyDescent="0.25">
      <c r="A271" s="138">
        <v>25.1</v>
      </c>
      <c r="B271" s="165" t="s">
        <v>410</v>
      </c>
      <c r="C271" s="110">
        <v>5235020</v>
      </c>
      <c r="D271" s="80" t="s">
        <v>187</v>
      </c>
      <c r="E271" s="80"/>
      <c r="F271" s="110">
        <v>796</v>
      </c>
      <c r="G271" s="81" t="s">
        <v>17</v>
      </c>
      <c r="H271" s="81">
        <v>1</v>
      </c>
      <c r="I271" s="151">
        <v>98401</v>
      </c>
      <c r="J271" s="83" t="s">
        <v>429</v>
      </c>
      <c r="K271" s="83">
        <v>130000</v>
      </c>
      <c r="L271" s="83"/>
      <c r="M271" s="83"/>
      <c r="N271" s="83"/>
      <c r="O271" s="83"/>
      <c r="P271" s="83"/>
      <c r="Q271" s="83"/>
      <c r="R271" s="83"/>
      <c r="S271" s="83"/>
      <c r="T271" s="83">
        <v>1</v>
      </c>
      <c r="U271" s="83">
        <v>65000</v>
      </c>
      <c r="V271" s="83">
        <v>1</v>
      </c>
      <c r="W271" s="83">
        <v>65000</v>
      </c>
      <c r="X271" s="81">
        <v>65000</v>
      </c>
      <c r="Y271" s="168"/>
      <c r="Z271" s="168"/>
      <c r="AA271" s="168"/>
      <c r="AB271" s="168"/>
      <c r="AC271" s="168"/>
      <c r="AD271" s="168"/>
      <c r="AE271" s="168"/>
    </row>
    <row r="272" spans="1:256" s="141" customFormat="1" x14ac:dyDescent="0.25">
      <c r="A272" s="138">
        <v>25.11</v>
      </c>
      <c r="B272" s="165" t="s">
        <v>410</v>
      </c>
      <c r="C272" s="110">
        <v>5235020</v>
      </c>
      <c r="D272" s="80" t="s">
        <v>188</v>
      </c>
      <c r="E272" s="80"/>
      <c r="F272" s="110">
        <v>796</v>
      </c>
      <c r="G272" s="81" t="s">
        <v>17</v>
      </c>
      <c r="H272" s="81">
        <v>3</v>
      </c>
      <c r="I272" s="151">
        <v>98401</v>
      </c>
      <c r="J272" s="83" t="s">
        <v>429</v>
      </c>
      <c r="K272" s="83">
        <v>15000</v>
      </c>
      <c r="L272" s="83"/>
      <c r="M272" s="83"/>
      <c r="N272" s="83"/>
      <c r="O272" s="83"/>
      <c r="P272" s="83">
        <v>1</v>
      </c>
      <c r="Q272" s="83">
        <v>5000</v>
      </c>
      <c r="R272" s="83">
        <v>1</v>
      </c>
      <c r="S272" s="83">
        <v>5000</v>
      </c>
      <c r="T272" s="83">
        <v>1</v>
      </c>
      <c r="U272" s="83">
        <v>5000</v>
      </c>
      <c r="V272" s="83"/>
      <c r="W272" s="83"/>
      <c r="X272" s="167"/>
      <c r="Y272" s="168"/>
      <c r="Z272" s="168"/>
      <c r="AA272" s="168"/>
      <c r="AB272" s="168"/>
      <c r="AC272" s="168"/>
      <c r="AD272" s="168"/>
      <c r="AE272" s="168"/>
    </row>
    <row r="273" spans="1:31" s="141" customFormat="1" x14ac:dyDescent="0.25">
      <c r="A273" s="138">
        <v>25.12</v>
      </c>
      <c r="B273" s="165" t="s">
        <v>410</v>
      </c>
      <c r="C273" s="110">
        <v>5235020</v>
      </c>
      <c r="D273" s="80" t="s">
        <v>189</v>
      </c>
      <c r="E273" s="80"/>
      <c r="F273" s="110">
        <v>796</v>
      </c>
      <c r="G273" s="81" t="s">
        <v>17</v>
      </c>
      <c r="H273" s="81">
        <v>11</v>
      </c>
      <c r="I273" s="151">
        <v>98401</v>
      </c>
      <c r="J273" s="83" t="s">
        <v>429</v>
      </c>
      <c r="K273" s="83">
        <v>275000</v>
      </c>
      <c r="L273" s="83"/>
      <c r="M273" s="83"/>
      <c r="N273" s="83"/>
      <c r="O273" s="83"/>
      <c r="P273" s="83"/>
      <c r="Q273" s="83"/>
      <c r="R273" s="83"/>
      <c r="S273" s="83"/>
      <c r="T273" s="83">
        <v>11</v>
      </c>
      <c r="U273" s="83">
        <v>55000</v>
      </c>
      <c r="V273" s="83">
        <v>4</v>
      </c>
      <c r="W273" s="83">
        <v>220000</v>
      </c>
      <c r="X273" s="167"/>
      <c r="Y273" s="168"/>
      <c r="Z273" s="168"/>
      <c r="AA273" s="168"/>
      <c r="AB273" s="168"/>
      <c r="AC273" s="168"/>
      <c r="AD273" s="168"/>
      <c r="AE273" s="168"/>
    </row>
    <row r="274" spans="1:31" s="141" customFormat="1" x14ac:dyDescent="0.25">
      <c r="A274" s="138">
        <v>25.13</v>
      </c>
      <c r="B274" s="165" t="s">
        <v>410</v>
      </c>
      <c r="C274" s="110">
        <v>5235020</v>
      </c>
      <c r="D274" s="80" t="s">
        <v>190</v>
      </c>
      <c r="E274" s="80"/>
      <c r="F274" s="110">
        <v>796</v>
      </c>
      <c r="G274" s="81" t="s">
        <v>17</v>
      </c>
      <c r="H274" s="81">
        <v>55</v>
      </c>
      <c r="I274" s="151">
        <v>98401</v>
      </c>
      <c r="J274" s="83" t="s">
        <v>429</v>
      </c>
      <c r="K274" s="83">
        <v>27500</v>
      </c>
      <c r="L274" s="83"/>
      <c r="M274" s="83"/>
      <c r="N274" s="83"/>
      <c r="O274" s="83"/>
      <c r="P274" s="83">
        <v>13</v>
      </c>
      <c r="Q274" s="83">
        <v>6500</v>
      </c>
      <c r="R274" s="83">
        <v>14</v>
      </c>
      <c r="S274" s="83">
        <v>7000</v>
      </c>
      <c r="T274" s="83">
        <v>14</v>
      </c>
      <c r="U274" s="83">
        <v>7000</v>
      </c>
      <c r="V274" s="83">
        <v>14</v>
      </c>
      <c r="W274" s="83">
        <v>7000</v>
      </c>
      <c r="X274" s="167"/>
      <c r="Y274" s="168"/>
      <c r="Z274" s="168"/>
      <c r="AA274" s="168"/>
      <c r="AB274" s="168"/>
      <c r="AC274" s="168"/>
      <c r="AD274" s="168"/>
      <c r="AE274" s="168"/>
    </row>
    <row r="275" spans="1:31" s="141" customFormat="1" x14ac:dyDescent="0.25">
      <c r="A275" s="138">
        <v>25.14</v>
      </c>
      <c r="B275" s="165" t="s">
        <v>410</v>
      </c>
      <c r="C275" s="110">
        <v>5235020</v>
      </c>
      <c r="D275" s="80" t="s">
        <v>191</v>
      </c>
      <c r="E275" s="80"/>
      <c r="F275" s="110">
        <v>796</v>
      </c>
      <c r="G275" s="81" t="s">
        <v>17</v>
      </c>
      <c r="H275" s="81">
        <v>65</v>
      </c>
      <c r="I275" s="151">
        <v>98401</v>
      </c>
      <c r="J275" s="83" t="s">
        <v>429</v>
      </c>
      <c r="K275" s="83">
        <v>19500</v>
      </c>
      <c r="L275" s="83"/>
      <c r="M275" s="83"/>
      <c r="N275" s="83"/>
      <c r="O275" s="83"/>
      <c r="P275" s="83">
        <v>16</v>
      </c>
      <c r="Q275" s="83">
        <v>4800</v>
      </c>
      <c r="R275" s="83">
        <v>16</v>
      </c>
      <c r="S275" s="83">
        <v>4800</v>
      </c>
      <c r="T275" s="83">
        <v>16</v>
      </c>
      <c r="U275" s="83">
        <v>4800</v>
      </c>
      <c r="V275" s="83">
        <v>17</v>
      </c>
      <c r="W275" s="83">
        <v>5100</v>
      </c>
      <c r="X275" s="167"/>
      <c r="Y275" s="168"/>
      <c r="Z275" s="168"/>
      <c r="AA275" s="168"/>
      <c r="AB275" s="168"/>
      <c r="AC275" s="168"/>
      <c r="AD275" s="168"/>
      <c r="AE275" s="168"/>
    </row>
    <row r="276" spans="1:31" s="141" customFormat="1" x14ac:dyDescent="0.25">
      <c r="A276" s="138">
        <v>25.15</v>
      </c>
      <c r="B276" s="165" t="s">
        <v>410</v>
      </c>
      <c r="C276" s="110">
        <v>5235020</v>
      </c>
      <c r="D276" s="80" t="s">
        <v>192</v>
      </c>
      <c r="E276" s="80"/>
      <c r="F276" s="110">
        <v>796</v>
      </c>
      <c r="G276" s="81" t="s">
        <v>17</v>
      </c>
      <c r="H276" s="81">
        <v>2</v>
      </c>
      <c r="I276" s="151">
        <v>98401</v>
      </c>
      <c r="J276" s="83" t="s">
        <v>429</v>
      </c>
      <c r="K276" s="83">
        <v>40000</v>
      </c>
      <c r="L276" s="83"/>
      <c r="M276" s="83"/>
      <c r="N276" s="83"/>
      <c r="O276" s="83"/>
      <c r="P276" s="83"/>
      <c r="Q276" s="83"/>
      <c r="R276" s="83"/>
      <c r="S276" s="83"/>
      <c r="T276" s="83">
        <v>2</v>
      </c>
      <c r="U276" s="83">
        <v>40000</v>
      </c>
      <c r="V276" s="83"/>
      <c r="W276" s="83"/>
      <c r="X276" s="167"/>
      <c r="Y276" s="168"/>
      <c r="Z276" s="168"/>
      <c r="AA276" s="168"/>
      <c r="AB276" s="168"/>
      <c r="AC276" s="168"/>
      <c r="AD276" s="168"/>
      <c r="AE276" s="168"/>
    </row>
    <row r="277" spans="1:31" s="141" customFormat="1" x14ac:dyDescent="0.25">
      <c r="A277" s="138">
        <v>25.16</v>
      </c>
      <c r="B277" s="165" t="s">
        <v>410</v>
      </c>
      <c r="C277" s="110">
        <v>5235020</v>
      </c>
      <c r="D277" s="80" t="s">
        <v>193</v>
      </c>
      <c r="E277" s="80"/>
      <c r="F277" s="110">
        <v>796</v>
      </c>
      <c r="G277" s="81" t="s">
        <v>17</v>
      </c>
      <c r="H277" s="81">
        <v>85</v>
      </c>
      <c r="I277" s="151">
        <v>98401</v>
      </c>
      <c r="J277" s="83" t="s">
        <v>429</v>
      </c>
      <c r="K277" s="83">
        <v>76500</v>
      </c>
      <c r="L277" s="83"/>
      <c r="M277" s="83"/>
      <c r="N277" s="83"/>
      <c r="O277" s="83"/>
      <c r="P277" s="83">
        <v>21</v>
      </c>
      <c r="Q277" s="83">
        <v>18900</v>
      </c>
      <c r="R277" s="83">
        <v>21</v>
      </c>
      <c r="S277" s="83">
        <v>18900</v>
      </c>
      <c r="T277" s="83">
        <v>21</v>
      </c>
      <c r="U277" s="83">
        <v>18900</v>
      </c>
      <c r="V277" s="83">
        <v>22</v>
      </c>
      <c r="W277" s="83">
        <v>19800</v>
      </c>
      <c r="X277" s="167"/>
      <c r="Y277" s="168"/>
      <c r="Z277" s="168"/>
      <c r="AA277" s="168"/>
      <c r="AB277" s="168"/>
      <c r="AC277" s="168"/>
      <c r="AD277" s="168"/>
      <c r="AE277" s="168"/>
    </row>
    <row r="278" spans="1:31" s="141" customFormat="1" x14ac:dyDescent="0.25">
      <c r="A278" s="138">
        <v>25.17</v>
      </c>
      <c r="B278" s="165" t="s">
        <v>410</v>
      </c>
      <c r="C278" s="110">
        <v>5235020</v>
      </c>
      <c r="D278" s="80" t="s">
        <v>194</v>
      </c>
      <c r="E278" s="80"/>
      <c r="F278" s="110">
        <v>796</v>
      </c>
      <c r="G278" s="81" t="s">
        <v>17</v>
      </c>
      <c r="H278" s="81">
        <v>3</v>
      </c>
      <c r="I278" s="151">
        <v>98401</v>
      </c>
      <c r="J278" s="83" t="s">
        <v>429</v>
      </c>
      <c r="K278" s="83">
        <v>21000</v>
      </c>
      <c r="L278" s="83"/>
      <c r="M278" s="83"/>
      <c r="N278" s="83"/>
      <c r="O278" s="83"/>
      <c r="P278" s="83">
        <v>1</v>
      </c>
      <c r="Q278" s="83">
        <v>7000</v>
      </c>
      <c r="R278" s="83">
        <v>1</v>
      </c>
      <c r="S278" s="83">
        <v>7000</v>
      </c>
      <c r="T278" s="83">
        <v>1</v>
      </c>
      <c r="U278" s="83">
        <v>7000</v>
      </c>
      <c r="V278" s="83"/>
      <c r="W278" s="83"/>
      <c r="X278" s="167"/>
      <c r="Y278" s="168"/>
      <c r="Z278" s="168"/>
      <c r="AA278" s="168"/>
      <c r="AB278" s="168"/>
      <c r="AC278" s="168"/>
      <c r="AD278" s="168"/>
      <c r="AE278" s="168"/>
    </row>
    <row r="279" spans="1:31" s="141" customFormat="1" x14ac:dyDescent="0.25">
      <c r="A279" s="138">
        <v>25.18</v>
      </c>
      <c r="B279" s="165" t="s">
        <v>410</v>
      </c>
      <c r="C279" s="110">
        <v>5235020</v>
      </c>
      <c r="D279" s="80" t="s">
        <v>195</v>
      </c>
      <c r="E279" s="80"/>
      <c r="F279" s="110">
        <v>796</v>
      </c>
      <c r="G279" s="81" t="s">
        <v>17</v>
      </c>
      <c r="H279" s="81">
        <v>1</v>
      </c>
      <c r="I279" s="151">
        <v>98401</v>
      </c>
      <c r="J279" s="83" t="s">
        <v>429</v>
      </c>
      <c r="K279" s="83">
        <v>20000</v>
      </c>
      <c r="L279" s="83"/>
      <c r="M279" s="83"/>
      <c r="N279" s="83"/>
      <c r="O279" s="83"/>
      <c r="P279" s="83"/>
      <c r="Q279" s="83"/>
      <c r="R279" s="83"/>
      <c r="S279" s="83"/>
      <c r="T279" s="83"/>
      <c r="U279" s="83"/>
      <c r="V279" s="83">
        <v>1</v>
      </c>
      <c r="W279" s="83">
        <v>20000</v>
      </c>
      <c r="X279" s="167"/>
      <c r="Y279" s="168"/>
      <c r="Z279" s="168"/>
      <c r="AA279" s="168"/>
      <c r="AB279" s="168"/>
      <c r="AC279" s="168"/>
      <c r="AD279" s="168"/>
      <c r="AE279" s="168"/>
    </row>
    <row r="280" spans="1:31" s="141" customFormat="1" x14ac:dyDescent="0.25">
      <c r="A280" s="138">
        <v>25.19</v>
      </c>
      <c r="B280" s="165" t="s">
        <v>410</v>
      </c>
      <c r="C280" s="110">
        <v>5235020</v>
      </c>
      <c r="D280" s="80" t="s">
        <v>196</v>
      </c>
      <c r="E280" s="80"/>
      <c r="F280" s="110">
        <v>796</v>
      </c>
      <c r="G280" s="81" t="s">
        <v>17</v>
      </c>
      <c r="H280" s="81">
        <v>20</v>
      </c>
      <c r="I280" s="151">
        <v>98401</v>
      </c>
      <c r="J280" s="83" t="s">
        <v>429</v>
      </c>
      <c r="K280" s="83">
        <v>1242360</v>
      </c>
      <c r="L280" s="83"/>
      <c r="M280" s="83"/>
      <c r="N280" s="83"/>
      <c r="O280" s="83"/>
      <c r="P280" s="83">
        <v>5</v>
      </c>
      <c r="Q280" s="83">
        <v>160000</v>
      </c>
      <c r="R280" s="83"/>
      <c r="S280" s="83"/>
      <c r="T280" s="83">
        <v>11</v>
      </c>
      <c r="U280" s="83">
        <v>362360</v>
      </c>
      <c r="V280" s="83">
        <v>19</v>
      </c>
      <c r="W280" s="83">
        <v>720000</v>
      </c>
      <c r="X280" s="167"/>
      <c r="Y280" s="168"/>
      <c r="Z280" s="168"/>
      <c r="AA280" s="168"/>
      <c r="AB280" s="168"/>
      <c r="AC280" s="168"/>
      <c r="AD280" s="168"/>
      <c r="AE280" s="168"/>
    </row>
    <row r="281" spans="1:31" s="141" customFormat="1" x14ac:dyDescent="0.25">
      <c r="A281" s="138">
        <v>25.2</v>
      </c>
      <c r="B281" s="165" t="s">
        <v>410</v>
      </c>
      <c r="C281" s="110">
        <v>5235020</v>
      </c>
      <c r="D281" s="80" t="s">
        <v>197</v>
      </c>
      <c r="E281" s="80"/>
      <c r="F281" s="110">
        <v>796</v>
      </c>
      <c r="G281" s="81" t="s">
        <v>17</v>
      </c>
      <c r="H281" s="81">
        <v>20</v>
      </c>
      <c r="I281" s="151">
        <v>98401</v>
      </c>
      <c r="J281" s="83" t="s">
        <v>429</v>
      </c>
      <c r="K281" s="83">
        <v>80000</v>
      </c>
      <c r="L281" s="83"/>
      <c r="M281" s="83"/>
      <c r="N281" s="83"/>
      <c r="O281" s="83"/>
      <c r="P281" s="83">
        <v>5</v>
      </c>
      <c r="Q281" s="83">
        <v>20000</v>
      </c>
      <c r="R281" s="191">
        <v>5</v>
      </c>
      <c r="S281" s="83">
        <v>20000</v>
      </c>
      <c r="T281" s="83">
        <v>5</v>
      </c>
      <c r="U281" s="83">
        <v>20000</v>
      </c>
      <c r="V281" s="83">
        <v>5</v>
      </c>
      <c r="W281" s="83">
        <v>20000</v>
      </c>
      <c r="X281" s="167"/>
      <c r="Y281" s="168"/>
      <c r="Z281" s="168"/>
      <c r="AA281" s="168"/>
      <c r="AB281" s="168"/>
      <c r="AC281" s="168"/>
      <c r="AD281" s="168"/>
      <c r="AE281" s="168"/>
    </row>
    <row r="282" spans="1:31" s="141" customFormat="1" x14ac:dyDescent="0.25">
      <c r="A282" s="138">
        <v>25.21</v>
      </c>
      <c r="B282" s="165" t="s">
        <v>410</v>
      </c>
      <c r="C282" s="110">
        <v>5235020</v>
      </c>
      <c r="D282" s="80" t="s">
        <v>198</v>
      </c>
      <c r="E282" s="80"/>
      <c r="F282" s="110">
        <v>796</v>
      </c>
      <c r="G282" s="81" t="s">
        <v>17</v>
      </c>
      <c r="H282" s="81">
        <v>4</v>
      </c>
      <c r="I282" s="151">
        <v>98401</v>
      </c>
      <c r="J282" s="83" t="s">
        <v>429</v>
      </c>
      <c r="K282" s="83">
        <v>8000</v>
      </c>
      <c r="L282" s="83"/>
      <c r="M282" s="83"/>
      <c r="N282" s="83"/>
      <c r="O282" s="83"/>
      <c r="P282" s="83">
        <v>1</v>
      </c>
      <c r="Q282" s="83">
        <v>2000</v>
      </c>
      <c r="R282" s="191">
        <v>1</v>
      </c>
      <c r="S282" s="83">
        <v>2000</v>
      </c>
      <c r="T282" s="83">
        <v>1</v>
      </c>
      <c r="U282" s="83">
        <v>2000</v>
      </c>
      <c r="V282" s="83">
        <v>1</v>
      </c>
      <c r="W282" s="83">
        <v>2000</v>
      </c>
      <c r="X282" s="167"/>
      <c r="Y282" s="168"/>
      <c r="Z282" s="168"/>
      <c r="AA282" s="168"/>
      <c r="AB282" s="168"/>
      <c r="AC282" s="168"/>
      <c r="AD282" s="168"/>
      <c r="AE282" s="168"/>
    </row>
    <row r="283" spans="1:31" s="141" customFormat="1" x14ac:dyDescent="0.25">
      <c r="A283" s="138">
        <v>25.22</v>
      </c>
      <c r="B283" s="165" t="s">
        <v>410</v>
      </c>
      <c r="C283" s="110">
        <v>5235020</v>
      </c>
      <c r="D283" s="80" t="s">
        <v>199</v>
      </c>
      <c r="E283" s="80"/>
      <c r="F283" s="110">
        <v>796</v>
      </c>
      <c r="G283" s="81" t="s">
        <v>17</v>
      </c>
      <c r="H283" s="81">
        <v>700</v>
      </c>
      <c r="I283" s="151">
        <v>98401</v>
      </c>
      <c r="J283" s="83" t="s">
        <v>429</v>
      </c>
      <c r="K283" s="83">
        <v>1400000</v>
      </c>
      <c r="L283" s="83"/>
      <c r="M283" s="83"/>
      <c r="N283" s="83"/>
      <c r="O283" s="83"/>
      <c r="P283" s="83">
        <v>175</v>
      </c>
      <c r="Q283" s="83">
        <v>350000</v>
      </c>
      <c r="R283" s="83">
        <v>175</v>
      </c>
      <c r="S283" s="83">
        <v>350000</v>
      </c>
      <c r="T283" s="83">
        <v>175</v>
      </c>
      <c r="U283" s="83">
        <v>350000</v>
      </c>
      <c r="V283" s="83">
        <v>175</v>
      </c>
      <c r="W283" s="83">
        <v>350000</v>
      </c>
      <c r="X283" s="167"/>
      <c r="Y283" s="168"/>
      <c r="Z283" s="168"/>
      <c r="AA283" s="168"/>
      <c r="AB283" s="168"/>
      <c r="AC283" s="168"/>
      <c r="AD283" s="168"/>
      <c r="AE283" s="168"/>
    </row>
    <row r="284" spans="1:31" s="141" customFormat="1" x14ac:dyDescent="0.25">
      <c r="A284" s="138">
        <v>25.23</v>
      </c>
      <c r="B284" s="165" t="s">
        <v>410</v>
      </c>
      <c r="C284" s="110">
        <v>5235020</v>
      </c>
      <c r="D284" s="80" t="s">
        <v>200</v>
      </c>
      <c r="E284" s="80"/>
      <c r="F284" s="110">
        <v>796</v>
      </c>
      <c r="G284" s="81" t="s">
        <v>17</v>
      </c>
      <c r="H284" s="81">
        <v>35</v>
      </c>
      <c r="I284" s="151">
        <v>98401</v>
      </c>
      <c r="J284" s="83" t="s">
        <v>429</v>
      </c>
      <c r="K284" s="83">
        <v>70000</v>
      </c>
      <c r="L284" s="83"/>
      <c r="M284" s="83"/>
      <c r="N284" s="83"/>
      <c r="O284" s="83"/>
      <c r="P284" s="83"/>
      <c r="Q284" s="83"/>
      <c r="R284" s="191">
        <v>35</v>
      </c>
      <c r="S284" s="83">
        <v>70000</v>
      </c>
      <c r="T284" s="83"/>
      <c r="U284" s="83"/>
      <c r="V284" s="83"/>
      <c r="W284" s="83"/>
      <c r="X284" s="167"/>
      <c r="Y284" s="168"/>
      <c r="Z284" s="168"/>
      <c r="AA284" s="168"/>
      <c r="AB284" s="168"/>
      <c r="AC284" s="168"/>
      <c r="AD284" s="168"/>
      <c r="AE284" s="168"/>
    </row>
    <row r="285" spans="1:31" s="141" customFormat="1" x14ac:dyDescent="0.25">
      <c r="A285" s="138">
        <v>25.24</v>
      </c>
      <c r="B285" s="165" t="s">
        <v>410</v>
      </c>
      <c r="C285" s="110">
        <v>5235020</v>
      </c>
      <c r="D285" s="80" t="s">
        <v>201</v>
      </c>
      <c r="E285" s="80"/>
      <c r="F285" s="110">
        <v>796</v>
      </c>
      <c r="G285" s="81" t="s">
        <v>17</v>
      </c>
      <c r="H285" s="81">
        <v>21</v>
      </c>
      <c r="I285" s="151">
        <v>98401</v>
      </c>
      <c r="J285" s="83" t="s">
        <v>429</v>
      </c>
      <c r="K285" s="83">
        <v>2068370</v>
      </c>
      <c r="L285" s="83"/>
      <c r="M285" s="83"/>
      <c r="N285" s="83"/>
      <c r="O285" s="83"/>
      <c r="P285" s="83"/>
      <c r="Q285" s="83"/>
      <c r="R285" s="191"/>
      <c r="S285" s="83"/>
      <c r="T285" s="83">
        <v>20</v>
      </c>
      <c r="U285" s="83">
        <v>568370</v>
      </c>
      <c r="V285" s="83">
        <v>1</v>
      </c>
      <c r="W285" s="83">
        <v>1500000</v>
      </c>
      <c r="X285" s="167"/>
      <c r="Y285" s="168"/>
      <c r="Z285" s="168"/>
      <c r="AA285" s="168"/>
      <c r="AB285" s="168"/>
      <c r="AC285" s="168"/>
      <c r="AD285" s="168"/>
      <c r="AE285" s="168"/>
    </row>
    <row r="286" spans="1:31" s="141" customFormat="1" x14ac:dyDescent="0.25">
      <c r="A286" s="138">
        <v>25.25</v>
      </c>
      <c r="B286" s="165" t="s">
        <v>410</v>
      </c>
      <c r="C286" s="110">
        <v>5235020</v>
      </c>
      <c r="D286" s="80" t="s">
        <v>202</v>
      </c>
      <c r="E286" s="80"/>
      <c r="F286" s="110">
        <v>796</v>
      </c>
      <c r="G286" s="81" t="s">
        <v>17</v>
      </c>
      <c r="H286" s="81">
        <v>4</v>
      </c>
      <c r="I286" s="151">
        <v>98401</v>
      </c>
      <c r="J286" s="83" t="s">
        <v>429</v>
      </c>
      <c r="K286" s="83">
        <v>14000</v>
      </c>
      <c r="L286" s="83"/>
      <c r="M286" s="83"/>
      <c r="N286" s="83"/>
      <c r="O286" s="83"/>
      <c r="P286" s="83"/>
      <c r="Q286" s="83"/>
      <c r="R286" s="191"/>
      <c r="S286" s="83"/>
      <c r="T286" s="83">
        <v>4</v>
      </c>
      <c r="U286" s="83">
        <v>14000</v>
      </c>
      <c r="V286" s="83"/>
      <c r="W286" s="83"/>
      <c r="X286" s="167"/>
      <c r="Y286" s="168"/>
      <c r="Z286" s="168"/>
      <c r="AA286" s="168"/>
      <c r="AB286" s="168"/>
      <c r="AC286" s="168"/>
      <c r="AD286" s="168"/>
      <c r="AE286" s="168"/>
    </row>
    <row r="287" spans="1:31" s="141" customFormat="1" x14ac:dyDescent="0.25">
      <c r="A287" s="138">
        <v>25.26</v>
      </c>
      <c r="B287" s="165" t="s">
        <v>410</v>
      </c>
      <c r="C287" s="110">
        <v>5235020</v>
      </c>
      <c r="D287" s="80" t="s">
        <v>203</v>
      </c>
      <c r="E287" s="80"/>
      <c r="F287" s="110">
        <v>796</v>
      </c>
      <c r="G287" s="81" t="s">
        <v>17</v>
      </c>
      <c r="H287" s="81">
        <v>1</v>
      </c>
      <c r="I287" s="151">
        <v>98401</v>
      </c>
      <c r="J287" s="83" t="s">
        <v>429</v>
      </c>
      <c r="K287" s="83">
        <v>65000</v>
      </c>
      <c r="L287" s="83"/>
      <c r="M287" s="83"/>
      <c r="N287" s="83"/>
      <c r="O287" s="83"/>
      <c r="P287" s="83"/>
      <c r="Q287" s="83"/>
      <c r="R287" s="191"/>
      <c r="S287" s="83"/>
      <c r="T287" s="83">
        <v>1</v>
      </c>
      <c r="U287" s="83">
        <v>65000</v>
      </c>
      <c r="V287" s="83"/>
      <c r="W287" s="83"/>
      <c r="X287" s="167"/>
      <c r="Y287" s="168"/>
      <c r="Z287" s="168"/>
      <c r="AA287" s="168"/>
      <c r="AB287" s="168"/>
      <c r="AC287" s="168"/>
      <c r="AD287" s="168"/>
      <c r="AE287" s="168"/>
    </row>
    <row r="288" spans="1:31" s="141" customFormat="1" x14ac:dyDescent="0.25">
      <c r="A288" s="138">
        <v>25.27</v>
      </c>
      <c r="B288" s="165" t="s">
        <v>410</v>
      </c>
      <c r="C288" s="110">
        <v>5235020</v>
      </c>
      <c r="D288" s="80" t="s">
        <v>204</v>
      </c>
      <c r="E288" s="80"/>
      <c r="F288" s="110">
        <v>796</v>
      </c>
      <c r="G288" s="81" t="s">
        <v>17</v>
      </c>
      <c r="H288" s="81">
        <v>1</v>
      </c>
      <c r="I288" s="151">
        <v>98401</v>
      </c>
      <c r="J288" s="83" t="s">
        <v>429</v>
      </c>
      <c r="K288" s="83">
        <v>5000</v>
      </c>
      <c r="L288" s="83"/>
      <c r="M288" s="83"/>
      <c r="N288" s="83"/>
      <c r="O288" s="83"/>
      <c r="P288" s="83"/>
      <c r="Q288" s="83"/>
      <c r="R288" s="191"/>
      <c r="S288" s="83"/>
      <c r="T288" s="83">
        <v>1</v>
      </c>
      <c r="U288" s="83">
        <v>5000</v>
      </c>
      <c r="V288" s="83"/>
      <c r="W288" s="83"/>
      <c r="X288" s="167"/>
      <c r="Y288" s="168"/>
      <c r="Z288" s="168"/>
      <c r="AA288" s="168"/>
      <c r="AB288" s="168"/>
      <c r="AC288" s="168"/>
      <c r="AD288" s="168"/>
      <c r="AE288" s="168"/>
    </row>
    <row r="289" spans="1:31" s="141" customFormat="1" x14ac:dyDescent="0.25">
      <c r="A289" s="138">
        <v>25.28</v>
      </c>
      <c r="B289" s="165" t="s">
        <v>410</v>
      </c>
      <c r="C289" s="110">
        <v>5235020</v>
      </c>
      <c r="D289" s="80" t="s">
        <v>205</v>
      </c>
      <c r="E289" s="80"/>
      <c r="F289" s="110">
        <v>796</v>
      </c>
      <c r="G289" s="81" t="s">
        <v>17</v>
      </c>
      <c r="H289" s="81">
        <v>3</v>
      </c>
      <c r="I289" s="151">
        <v>98401</v>
      </c>
      <c r="J289" s="83" t="s">
        <v>429</v>
      </c>
      <c r="K289" s="83">
        <v>25170</v>
      </c>
      <c r="L289" s="83"/>
      <c r="M289" s="83"/>
      <c r="N289" s="83"/>
      <c r="O289" s="83"/>
      <c r="P289" s="83"/>
      <c r="Q289" s="83"/>
      <c r="R289" s="191"/>
      <c r="S289" s="83"/>
      <c r="T289" s="83">
        <v>3</v>
      </c>
      <c r="U289" s="83">
        <v>25170</v>
      </c>
      <c r="V289" s="83"/>
      <c r="W289" s="83"/>
      <c r="X289" s="167"/>
      <c r="Y289" s="168"/>
      <c r="Z289" s="168"/>
      <c r="AA289" s="168"/>
      <c r="AB289" s="168"/>
      <c r="AC289" s="168"/>
      <c r="AD289" s="168"/>
      <c r="AE289" s="168"/>
    </row>
    <row r="290" spans="1:31" s="141" customFormat="1" x14ac:dyDescent="0.25">
      <c r="A290" s="138">
        <v>25.29</v>
      </c>
      <c r="B290" s="165" t="s">
        <v>410</v>
      </c>
      <c r="C290" s="110">
        <v>5235020</v>
      </c>
      <c r="D290" s="80" t="s">
        <v>206</v>
      </c>
      <c r="E290" s="80"/>
      <c r="F290" s="110">
        <v>796</v>
      </c>
      <c r="G290" s="81" t="s">
        <v>17</v>
      </c>
      <c r="H290" s="81">
        <v>1</v>
      </c>
      <c r="I290" s="151">
        <v>98401</v>
      </c>
      <c r="J290" s="83" t="s">
        <v>429</v>
      </c>
      <c r="K290" s="83">
        <v>25000</v>
      </c>
      <c r="L290" s="83"/>
      <c r="M290" s="83"/>
      <c r="N290" s="83"/>
      <c r="O290" s="83"/>
      <c r="P290" s="83"/>
      <c r="Q290" s="83"/>
      <c r="R290" s="191"/>
      <c r="S290" s="83"/>
      <c r="T290" s="83">
        <v>1</v>
      </c>
      <c r="U290" s="83">
        <v>25000</v>
      </c>
      <c r="V290" s="83"/>
      <c r="W290" s="83"/>
      <c r="X290" s="167"/>
      <c r="Y290" s="168"/>
      <c r="Z290" s="168"/>
      <c r="AA290" s="168"/>
      <c r="AB290" s="168"/>
      <c r="AC290" s="168"/>
      <c r="AD290" s="168"/>
      <c r="AE290" s="168"/>
    </row>
    <row r="291" spans="1:31" s="141" customFormat="1" x14ac:dyDescent="0.25">
      <c r="A291" s="138">
        <v>25.3</v>
      </c>
      <c r="B291" s="165" t="s">
        <v>410</v>
      </c>
      <c r="C291" s="110">
        <v>5235020</v>
      </c>
      <c r="D291" s="80" t="s">
        <v>207</v>
      </c>
      <c r="E291" s="80"/>
      <c r="F291" s="110">
        <v>796</v>
      </c>
      <c r="G291" s="81" t="s">
        <v>17</v>
      </c>
      <c r="H291" s="81">
        <v>1</v>
      </c>
      <c r="I291" s="151">
        <v>98401</v>
      </c>
      <c r="J291" s="83" t="s">
        <v>429</v>
      </c>
      <c r="K291" s="83">
        <v>8000</v>
      </c>
      <c r="L291" s="83"/>
      <c r="M291" s="83"/>
      <c r="N291" s="83"/>
      <c r="O291" s="83"/>
      <c r="P291" s="83"/>
      <c r="Q291" s="83"/>
      <c r="R291" s="191"/>
      <c r="S291" s="83"/>
      <c r="T291" s="83">
        <v>1</v>
      </c>
      <c r="U291" s="83">
        <v>8000</v>
      </c>
      <c r="V291" s="83"/>
      <c r="W291" s="83"/>
      <c r="X291" s="167"/>
      <c r="Y291" s="168"/>
      <c r="Z291" s="168"/>
      <c r="AA291" s="168"/>
      <c r="AB291" s="168"/>
      <c r="AC291" s="168"/>
      <c r="AD291" s="168"/>
      <c r="AE291" s="168"/>
    </row>
    <row r="292" spans="1:31" s="141" customFormat="1" x14ac:dyDescent="0.25">
      <c r="A292" s="138">
        <v>25.31</v>
      </c>
      <c r="B292" s="165" t="s">
        <v>426</v>
      </c>
      <c r="C292" s="110">
        <v>2930010</v>
      </c>
      <c r="D292" s="80" t="s">
        <v>335</v>
      </c>
      <c r="E292" s="80"/>
      <c r="F292" s="110">
        <v>796</v>
      </c>
      <c r="G292" s="81" t="s">
        <v>17</v>
      </c>
      <c r="H292" s="81">
        <v>6</v>
      </c>
      <c r="I292" s="151">
        <v>98401</v>
      </c>
      <c r="J292" s="83" t="s">
        <v>429</v>
      </c>
      <c r="K292" s="83">
        <v>52600</v>
      </c>
      <c r="L292" s="83"/>
      <c r="M292" s="83"/>
      <c r="N292" s="83"/>
      <c r="O292" s="83"/>
      <c r="P292" s="83"/>
      <c r="Q292" s="83"/>
      <c r="R292" s="191"/>
      <c r="S292" s="83"/>
      <c r="T292" s="83">
        <v>4</v>
      </c>
      <c r="U292" s="83">
        <v>52600</v>
      </c>
      <c r="V292" s="83"/>
      <c r="W292" s="83"/>
      <c r="X292" s="167"/>
      <c r="Y292" s="168"/>
      <c r="Z292" s="168"/>
      <c r="AA292" s="168"/>
      <c r="AB292" s="168"/>
      <c r="AC292" s="168"/>
      <c r="AD292" s="168"/>
      <c r="AE292" s="168"/>
    </row>
    <row r="293" spans="1:31" s="141" customFormat="1" x14ac:dyDescent="0.25">
      <c r="A293" s="138">
        <v>25.32</v>
      </c>
      <c r="B293" s="165" t="s">
        <v>426</v>
      </c>
      <c r="C293" s="110">
        <v>3320000</v>
      </c>
      <c r="D293" s="80" t="s">
        <v>208</v>
      </c>
      <c r="E293" s="80"/>
      <c r="F293" s="110">
        <v>796</v>
      </c>
      <c r="G293" s="81" t="s">
        <v>17</v>
      </c>
      <c r="H293" s="81">
        <v>1</v>
      </c>
      <c r="I293" s="151">
        <v>98401</v>
      </c>
      <c r="J293" s="83" t="s">
        <v>429</v>
      </c>
      <c r="K293" s="83">
        <v>35000</v>
      </c>
      <c r="L293" s="83"/>
      <c r="M293" s="83"/>
      <c r="N293" s="83"/>
      <c r="O293" s="83"/>
      <c r="P293" s="83"/>
      <c r="Q293" s="83"/>
      <c r="R293" s="191"/>
      <c r="S293" s="83"/>
      <c r="T293" s="83">
        <v>1</v>
      </c>
      <c r="U293" s="83">
        <v>35000</v>
      </c>
      <c r="V293" s="83"/>
      <c r="W293" s="83"/>
      <c r="X293" s="167"/>
      <c r="Y293" s="168"/>
      <c r="Z293" s="168"/>
      <c r="AA293" s="168"/>
      <c r="AB293" s="168"/>
      <c r="AC293" s="168"/>
      <c r="AD293" s="168"/>
      <c r="AE293" s="168"/>
    </row>
    <row r="294" spans="1:31" s="141" customFormat="1" x14ac:dyDescent="0.25">
      <c r="A294" s="138">
        <v>25.33</v>
      </c>
      <c r="B294" s="165" t="s">
        <v>427</v>
      </c>
      <c r="C294" s="110">
        <v>3230020</v>
      </c>
      <c r="D294" s="80" t="s">
        <v>209</v>
      </c>
      <c r="E294" s="80"/>
      <c r="F294" s="110">
        <v>796</v>
      </c>
      <c r="G294" s="81" t="s">
        <v>17</v>
      </c>
      <c r="H294" s="81">
        <v>1</v>
      </c>
      <c r="I294" s="151">
        <v>98401</v>
      </c>
      <c r="J294" s="83" t="s">
        <v>429</v>
      </c>
      <c r="K294" s="83">
        <v>2990</v>
      </c>
      <c r="L294" s="83"/>
      <c r="M294" s="83"/>
      <c r="N294" s="83"/>
      <c r="O294" s="83"/>
      <c r="P294" s="83"/>
      <c r="Q294" s="83"/>
      <c r="R294" s="191"/>
      <c r="S294" s="83"/>
      <c r="T294" s="83">
        <v>1</v>
      </c>
      <c r="U294" s="83">
        <v>2990</v>
      </c>
      <c r="V294" s="83"/>
      <c r="W294" s="83"/>
      <c r="X294" s="167"/>
      <c r="Y294" s="168"/>
      <c r="Z294" s="168"/>
      <c r="AA294" s="168"/>
      <c r="AB294" s="168"/>
      <c r="AC294" s="168"/>
      <c r="AD294" s="168"/>
      <c r="AE294" s="168"/>
    </row>
    <row r="295" spans="1:31" s="141" customFormat="1" x14ac:dyDescent="0.25">
      <c r="A295" s="138">
        <v>25.34</v>
      </c>
      <c r="B295" s="165" t="s">
        <v>427</v>
      </c>
      <c r="C295" s="110">
        <v>5235020</v>
      </c>
      <c r="D295" s="80" t="s">
        <v>210</v>
      </c>
      <c r="E295" s="80"/>
      <c r="F295" s="110">
        <v>796</v>
      </c>
      <c r="G295" s="81" t="s">
        <v>17</v>
      </c>
      <c r="H295" s="81">
        <v>1</v>
      </c>
      <c r="I295" s="151">
        <v>98401</v>
      </c>
      <c r="J295" s="83" t="s">
        <v>429</v>
      </c>
      <c r="K295" s="83">
        <v>15600</v>
      </c>
      <c r="L295" s="83"/>
      <c r="M295" s="83"/>
      <c r="N295" s="83"/>
      <c r="O295" s="83"/>
      <c r="P295" s="83"/>
      <c r="Q295" s="83"/>
      <c r="R295" s="191"/>
      <c r="S295" s="83"/>
      <c r="T295" s="83">
        <v>1</v>
      </c>
      <c r="U295" s="83">
        <v>15600</v>
      </c>
      <c r="V295" s="83"/>
      <c r="W295" s="83"/>
      <c r="X295" s="167"/>
      <c r="Y295" s="168"/>
      <c r="Z295" s="168"/>
      <c r="AA295" s="168"/>
      <c r="AB295" s="168"/>
      <c r="AC295" s="168"/>
      <c r="AD295" s="168"/>
      <c r="AE295" s="168"/>
    </row>
    <row r="296" spans="1:31" s="141" customFormat="1" x14ac:dyDescent="0.25">
      <c r="A296" s="138">
        <v>25.35</v>
      </c>
      <c r="B296" s="165" t="s">
        <v>427</v>
      </c>
      <c r="C296" s="110">
        <v>5235020</v>
      </c>
      <c r="D296" s="80" t="s">
        <v>330</v>
      </c>
      <c r="E296" s="80"/>
      <c r="F296" s="110">
        <v>796</v>
      </c>
      <c r="G296" s="81" t="s">
        <v>17</v>
      </c>
      <c r="H296" s="81">
        <v>2</v>
      </c>
      <c r="I296" s="151">
        <v>98401</v>
      </c>
      <c r="J296" s="83" t="s">
        <v>429</v>
      </c>
      <c r="K296" s="83">
        <v>28200</v>
      </c>
      <c r="L296" s="83"/>
      <c r="M296" s="83"/>
      <c r="N296" s="83"/>
      <c r="O296" s="83"/>
      <c r="P296" s="83"/>
      <c r="Q296" s="83"/>
      <c r="R296" s="191"/>
      <c r="S296" s="83"/>
      <c r="T296" s="83">
        <v>2</v>
      </c>
      <c r="U296" s="83">
        <v>28200</v>
      </c>
      <c r="V296" s="83"/>
      <c r="W296" s="83"/>
      <c r="X296" s="167"/>
      <c r="Y296" s="168"/>
      <c r="Z296" s="168"/>
      <c r="AA296" s="168"/>
      <c r="AB296" s="168"/>
      <c r="AC296" s="168"/>
      <c r="AD296" s="168"/>
      <c r="AE296" s="168"/>
    </row>
    <row r="297" spans="1:31" s="141" customFormat="1" x14ac:dyDescent="0.25">
      <c r="A297" s="138">
        <v>25.36</v>
      </c>
      <c r="B297" s="165" t="s">
        <v>427</v>
      </c>
      <c r="C297" s="110">
        <v>3221000</v>
      </c>
      <c r="D297" s="80" t="s">
        <v>332</v>
      </c>
      <c r="E297" s="80"/>
      <c r="F297" s="110">
        <v>796</v>
      </c>
      <c r="G297" s="81" t="s">
        <v>17</v>
      </c>
      <c r="H297" s="81">
        <v>7</v>
      </c>
      <c r="I297" s="151">
        <v>98401</v>
      </c>
      <c r="J297" s="83" t="s">
        <v>429</v>
      </c>
      <c r="K297" s="83">
        <v>95000</v>
      </c>
      <c r="L297" s="83"/>
      <c r="M297" s="83"/>
      <c r="N297" s="83"/>
      <c r="O297" s="83"/>
      <c r="P297" s="83"/>
      <c r="Q297" s="83"/>
      <c r="R297" s="191"/>
      <c r="S297" s="83"/>
      <c r="T297" s="83">
        <v>7</v>
      </c>
      <c r="U297" s="83">
        <v>95000</v>
      </c>
      <c r="V297" s="83"/>
      <c r="W297" s="83"/>
      <c r="X297" s="167"/>
      <c r="Y297" s="168"/>
      <c r="Z297" s="168"/>
      <c r="AA297" s="168"/>
      <c r="AB297" s="168"/>
      <c r="AC297" s="168"/>
      <c r="AD297" s="168"/>
      <c r="AE297" s="168"/>
    </row>
    <row r="298" spans="1:31" s="141" customFormat="1" x14ac:dyDescent="0.25">
      <c r="A298" s="138">
        <v>25.37</v>
      </c>
      <c r="B298" s="165" t="s">
        <v>427</v>
      </c>
      <c r="C298" s="110">
        <v>3221000</v>
      </c>
      <c r="D298" s="80" t="s">
        <v>349</v>
      </c>
      <c r="E298" s="80"/>
      <c r="F298" s="110">
        <v>796</v>
      </c>
      <c r="G298" s="81" t="s">
        <v>17</v>
      </c>
      <c r="H298" s="81">
        <v>3</v>
      </c>
      <c r="I298" s="151">
        <v>98401</v>
      </c>
      <c r="J298" s="83" t="s">
        <v>429</v>
      </c>
      <c r="K298" s="83">
        <v>95000</v>
      </c>
      <c r="L298" s="83"/>
      <c r="M298" s="83"/>
      <c r="N298" s="83"/>
      <c r="O298" s="83"/>
      <c r="P298" s="83"/>
      <c r="Q298" s="83"/>
      <c r="R298" s="191"/>
      <c r="S298" s="83"/>
      <c r="T298" s="83">
        <v>3</v>
      </c>
      <c r="U298" s="83">
        <v>95000</v>
      </c>
      <c r="V298" s="83"/>
      <c r="W298" s="83"/>
      <c r="X298" s="167"/>
      <c r="Y298" s="168"/>
      <c r="Z298" s="168"/>
      <c r="AA298" s="168"/>
      <c r="AB298" s="168"/>
      <c r="AC298" s="168"/>
      <c r="AD298" s="168"/>
      <c r="AE298" s="168"/>
    </row>
    <row r="299" spans="1:31" s="141" customFormat="1" x14ac:dyDescent="0.25">
      <c r="A299" s="138">
        <v>25.38</v>
      </c>
      <c r="B299" s="165" t="s">
        <v>427</v>
      </c>
      <c r="C299" s="110">
        <v>3221000</v>
      </c>
      <c r="D299" s="80" t="s">
        <v>340</v>
      </c>
      <c r="E299" s="80"/>
      <c r="F299" s="110">
        <v>796</v>
      </c>
      <c r="G299" s="81" t="s">
        <v>17</v>
      </c>
      <c r="H299" s="81">
        <v>3</v>
      </c>
      <c r="I299" s="151">
        <v>98401</v>
      </c>
      <c r="J299" s="83" t="s">
        <v>429</v>
      </c>
      <c r="K299" s="83">
        <v>1710</v>
      </c>
      <c r="L299" s="83"/>
      <c r="M299" s="83"/>
      <c r="N299" s="83"/>
      <c r="O299" s="83"/>
      <c r="P299" s="83"/>
      <c r="Q299" s="83"/>
      <c r="R299" s="191"/>
      <c r="S299" s="83"/>
      <c r="T299" s="83">
        <v>3</v>
      </c>
      <c r="U299" s="83">
        <v>1710</v>
      </c>
      <c r="V299" s="83"/>
      <c r="W299" s="83"/>
      <c r="X299" s="167"/>
      <c r="Y299" s="168"/>
      <c r="Z299" s="168"/>
      <c r="AA299" s="168"/>
      <c r="AB299" s="168"/>
      <c r="AC299" s="168"/>
      <c r="AD299" s="168"/>
      <c r="AE299" s="168"/>
    </row>
    <row r="300" spans="1:31" s="141" customFormat="1" x14ac:dyDescent="0.25">
      <c r="A300" s="138">
        <v>25.39</v>
      </c>
      <c r="B300" s="165" t="s">
        <v>427</v>
      </c>
      <c r="C300" s="110">
        <v>3221000</v>
      </c>
      <c r="D300" s="80" t="s">
        <v>341</v>
      </c>
      <c r="E300" s="80"/>
      <c r="F300" s="110">
        <v>796</v>
      </c>
      <c r="G300" s="81" t="s">
        <v>17</v>
      </c>
      <c r="H300" s="81">
        <v>1</v>
      </c>
      <c r="I300" s="151">
        <v>98401</v>
      </c>
      <c r="J300" s="83" t="s">
        <v>429</v>
      </c>
      <c r="K300" s="83">
        <v>1050</v>
      </c>
      <c r="L300" s="83"/>
      <c r="M300" s="83"/>
      <c r="N300" s="83"/>
      <c r="O300" s="83"/>
      <c r="P300" s="83"/>
      <c r="Q300" s="83"/>
      <c r="R300" s="191"/>
      <c r="S300" s="83"/>
      <c r="T300" s="83">
        <v>1</v>
      </c>
      <c r="U300" s="83">
        <v>1050</v>
      </c>
      <c r="V300" s="83"/>
      <c r="W300" s="83"/>
      <c r="X300" s="167"/>
      <c r="Y300" s="168"/>
      <c r="Z300" s="168"/>
      <c r="AA300" s="168"/>
      <c r="AB300" s="168"/>
      <c r="AC300" s="168"/>
      <c r="AD300" s="168"/>
      <c r="AE300" s="168"/>
    </row>
    <row r="301" spans="1:31" s="141" customFormat="1" x14ac:dyDescent="0.25">
      <c r="A301" s="138">
        <v>25.4</v>
      </c>
      <c r="B301" s="165" t="s">
        <v>427</v>
      </c>
      <c r="C301" s="110">
        <v>3221000</v>
      </c>
      <c r="D301" s="80" t="s">
        <v>207</v>
      </c>
      <c r="E301" s="80"/>
      <c r="F301" s="110">
        <v>796</v>
      </c>
      <c r="G301" s="81" t="s">
        <v>17</v>
      </c>
      <c r="H301" s="81">
        <v>2</v>
      </c>
      <c r="I301" s="151">
        <v>98401</v>
      </c>
      <c r="J301" s="83" t="s">
        <v>429</v>
      </c>
      <c r="K301" s="83">
        <v>11980</v>
      </c>
      <c r="L301" s="83"/>
      <c r="M301" s="83"/>
      <c r="N301" s="83"/>
      <c r="O301" s="83"/>
      <c r="P301" s="83"/>
      <c r="Q301" s="83"/>
      <c r="R301" s="191"/>
      <c r="S301" s="83"/>
      <c r="T301" s="83">
        <v>2</v>
      </c>
      <c r="U301" s="83">
        <v>11980</v>
      </c>
      <c r="V301" s="83"/>
      <c r="W301" s="83"/>
      <c r="X301" s="167"/>
      <c r="Y301" s="168"/>
      <c r="Z301" s="168"/>
      <c r="AA301" s="168"/>
      <c r="AB301" s="168"/>
      <c r="AC301" s="168"/>
      <c r="AD301" s="168"/>
      <c r="AE301" s="168"/>
    </row>
    <row r="302" spans="1:31" s="141" customFormat="1" x14ac:dyDescent="0.25">
      <c r="A302" s="138">
        <v>25.41</v>
      </c>
      <c r="B302" s="165" t="s">
        <v>427</v>
      </c>
      <c r="C302" s="110">
        <v>3320000</v>
      </c>
      <c r="D302" s="80" t="s">
        <v>342</v>
      </c>
      <c r="E302" s="80"/>
      <c r="F302" s="110">
        <v>796</v>
      </c>
      <c r="G302" s="81" t="s">
        <v>17</v>
      </c>
      <c r="H302" s="81">
        <v>3</v>
      </c>
      <c r="I302" s="151">
        <v>98401</v>
      </c>
      <c r="J302" s="83" t="s">
        <v>429</v>
      </c>
      <c r="K302" s="83">
        <v>17070</v>
      </c>
      <c r="L302" s="83"/>
      <c r="M302" s="83"/>
      <c r="N302" s="83"/>
      <c r="O302" s="83"/>
      <c r="P302" s="83"/>
      <c r="Q302" s="83"/>
      <c r="R302" s="191"/>
      <c r="S302" s="83"/>
      <c r="T302" s="83">
        <v>3</v>
      </c>
      <c r="U302" s="83">
        <v>17070</v>
      </c>
      <c r="V302" s="83"/>
      <c r="W302" s="83"/>
      <c r="X302" s="167"/>
      <c r="Y302" s="168"/>
      <c r="Z302" s="168"/>
      <c r="AA302" s="168"/>
      <c r="AB302" s="168"/>
      <c r="AC302" s="168"/>
      <c r="AD302" s="168"/>
      <c r="AE302" s="168"/>
    </row>
    <row r="303" spans="1:31" s="141" customFormat="1" x14ac:dyDescent="0.25">
      <c r="A303" s="138">
        <v>25.42</v>
      </c>
      <c r="B303" s="165" t="s">
        <v>427</v>
      </c>
      <c r="C303" s="110">
        <v>2930010</v>
      </c>
      <c r="D303" s="80" t="s">
        <v>345</v>
      </c>
      <c r="E303" s="80"/>
      <c r="F303" s="110">
        <v>796</v>
      </c>
      <c r="G303" s="81" t="s">
        <v>17</v>
      </c>
      <c r="H303" s="81">
        <v>3</v>
      </c>
      <c r="I303" s="151">
        <v>98401</v>
      </c>
      <c r="J303" s="83" t="s">
        <v>429</v>
      </c>
      <c r="K303" s="83">
        <v>4970</v>
      </c>
      <c r="L303" s="83"/>
      <c r="M303" s="83"/>
      <c r="N303" s="83"/>
      <c r="O303" s="83"/>
      <c r="P303" s="83"/>
      <c r="Q303" s="83"/>
      <c r="R303" s="191"/>
      <c r="S303" s="83"/>
      <c r="T303" s="83">
        <v>3</v>
      </c>
      <c r="U303" s="83">
        <v>4970</v>
      </c>
      <c r="V303" s="83"/>
      <c r="W303" s="83"/>
      <c r="X303" s="167"/>
      <c r="Y303" s="168"/>
      <c r="Z303" s="168"/>
      <c r="AA303" s="168"/>
      <c r="AB303" s="168"/>
      <c r="AC303" s="168"/>
      <c r="AD303" s="168"/>
      <c r="AE303" s="168"/>
    </row>
    <row r="304" spans="1:31" s="141" customFormat="1" x14ac:dyDescent="0.25">
      <c r="A304" s="138">
        <v>25.43</v>
      </c>
      <c r="B304" s="165" t="s">
        <v>427</v>
      </c>
      <c r="C304" s="110">
        <v>3320000</v>
      </c>
      <c r="D304" s="80" t="s">
        <v>347</v>
      </c>
      <c r="E304" s="80"/>
      <c r="F304" s="110">
        <v>796</v>
      </c>
      <c r="G304" s="81" t="s">
        <v>17</v>
      </c>
      <c r="H304" s="81">
        <v>1</v>
      </c>
      <c r="I304" s="151">
        <v>98401</v>
      </c>
      <c r="J304" s="83" t="s">
        <v>429</v>
      </c>
      <c r="K304" s="83">
        <v>34000</v>
      </c>
      <c r="L304" s="83"/>
      <c r="M304" s="83"/>
      <c r="N304" s="83"/>
      <c r="O304" s="83"/>
      <c r="P304" s="83"/>
      <c r="Q304" s="83"/>
      <c r="R304" s="191"/>
      <c r="S304" s="83"/>
      <c r="T304" s="83">
        <v>1</v>
      </c>
      <c r="U304" s="83">
        <v>34000</v>
      </c>
      <c r="V304" s="83"/>
      <c r="W304" s="83"/>
      <c r="X304" s="167"/>
      <c r="Y304" s="168"/>
      <c r="Z304" s="168"/>
      <c r="AA304" s="168"/>
      <c r="AB304" s="168"/>
      <c r="AC304" s="168"/>
      <c r="AD304" s="168"/>
      <c r="AE304" s="168"/>
    </row>
    <row r="305" spans="1:31" s="141" customFormat="1" x14ac:dyDescent="0.25">
      <c r="A305" s="138">
        <v>25.44</v>
      </c>
      <c r="B305" s="165" t="s">
        <v>427</v>
      </c>
      <c r="C305" s="110">
        <v>2930010</v>
      </c>
      <c r="D305" s="80" t="s">
        <v>346</v>
      </c>
      <c r="E305" s="80"/>
      <c r="F305" s="110">
        <v>796</v>
      </c>
      <c r="G305" s="81" t="s">
        <v>17</v>
      </c>
      <c r="H305" s="81">
        <v>1</v>
      </c>
      <c r="I305" s="151">
        <v>98401</v>
      </c>
      <c r="J305" s="83" t="s">
        <v>429</v>
      </c>
      <c r="K305" s="83">
        <v>3035</v>
      </c>
      <c r="L305" s="83"/>
      <c r="M305" s="83"/>
      <c r="N305" s="83"/>
      <c r="O305" s="83"/>
      <c r="P305" s="83"/>
      <c r="Q305" s="83"/>
      <c r="R305" s="191"/>
      <c r="S305" s="83"/>
      <c r="T305" s="83">
        <v>1</v>
      </c>
      <c r="U305" s="83">
        <v>3035</v>
      </c>
      <c r="V305" s="83"/>
      <c r="W305" s="83"/>
      <c r="X305" s="167"/>
      <c r="Y305" s="168"/>
      <c r="Z305" s="168"/>
      <c r="AA305" s="168"/>
      <c r="AB305" s="168"/>
      <c r="AC305" s="168"/>
      <c r="AD305" s="168"/>
      <c r="AE305" s="168"/>
    </row>
    <row r="306" spans="1:31" s="141" customFormat="1" x14ac:dyDescent="0.25">
      <c r="A306" s="138">
        <v>25.45</v>
      </c>
      <c r="B306" s="165" t="s">
        <v>427</v>
      </c>
      <c r="C306" s="110">
        <v>5235020</v>
      </c>
      <c r="D306" s="80" t="s">
        <v>348</v>
      </c>
      <c r="E306" s="80"/>
      <c r="F306" s="110">
        <v>796</v>
      </c>
      <c r="G306" s="81" t="s">
        <v>17</v>
      </c>
      <c r="H306" s="81">
        <v>3</v>
      </c>
      <c r="I306" s="151">
        <v>98401</v>
      </c>
      <c r="J306" s="83" t="s">
        <v>429</v>
      </c>
      <c r="K306" s="83">
        <v>98970</v>
      </c>
      <c r="L306" s="83"/>
      <c r="M306" s="83"/>
      <c r="N306" s="83"/>
      <c r="O306" s="83"/>
      <c r="P306" s="83"/>
      <c r="Q306" s="83"/>
      <c r="R306" s="191"/>
      <c r="S306" s="83"/>
      <c r="T306" s="83">
        <v>3</v>
      </c>
      <c r="U306" s="83">
        <v>98970</v>
      </c>
      <c r="V306" s="83"/>
      <c r="W306" s="83"/>
      <c r="X306" s="167"/>
      <c r="Y306" s="168"/>
      <c r="Z306" s="168"/>
      <c r="AA306" s="168"/>
      <c r="AB306" s="168"/>
      <c r="AC306" s="168"/>
      <c r="AD306" s="168"/>
      <c r="AE306" s="168"/>
    </row>
    <row r="307" spans="1:31" s="141" customFormat="1" x14ac:dyDescent="0.25">
      <c r="A307" s="138">
        <v>25.46</v>
      </c>
      <c r="B307" s="165" t="s">
        <v>427</v>
      </c>
      <c r="C307" s="110">
        <v>3320000</v>
      </c>
      <c r="D307" s="80" t="s">
        <v>350</v>
      </c>
      <c r="E307" s="80"/>
      <c r="F307" s="110">
        <v>796</v>
      </c>
      <c r="G307" s="81" t="s">
        <v>17</v>
      </c>
      <c r="H307" s="81">
        <v>1</v>
      </c>
      <c r="I307" s="151">
        <v>98401</v>
      </c>
      <c r="J307" s="83" t="s">
        <v>429</v>
      </c>
      <c r="K307" s="83">
        <v>7000</v>
      </c>
      <c r="L307" s="83"/>
      <c r="M307" s="83"/>
      <c r="N307" s="83"/>
      <c r="O307" s="83"/>
      <c r="P307" s="83"/>
      <c r="Q307" s="83"/>
      <c r="R307" s="191"/>
      <c r="S307" s="83"/>
      <c r="T307" s="83">
        <v>1</v>
      </c>
      <c r="U307" s="83">
        <v>7000</v>
      </c>
      <c r="V307" s="83"/>
      <c r="W307" s="83"/>
      <c r="X307" s="167"/>
      <c r="Y307" s="168"/>
      <c r="Z307" s="168"/>
      <c r="AA307" s="168"/>
      <c r="AB307" s="168"/>
      <c r="AC307" s="168"/>
      <c r="AD307" s="168"/>
      <c r="AE307" s="168"/>
    </row>
    <row r="308" spans="1:31" s="141" customFormat="1" x14ac:dyDescent="0.25">
      <c r="A308" s="138">
        <v>25.47</v>
      </c>
      <c r="B308" s="165" t="s">
        <v>427</v>
      </c>
      <c r="C308" s="110">
        <v>2930010</v>
      </c>
      <c r="D308" s="80" t="s">
        <v>351</v>
      </c>
      <c r="E308" s="80"/>
      <c r="F308" s="110">
        <v>796</v>
      </c>
      <c r="G308" s="81" t="s">
        <v>17</v>
      </c>
      <c r="H308" s="81">
        <v>1</v>
      </c>
      <c r="I308" s="151">
        <v>98401</v>
      </c>
      <c r="J308" s="83" t="s">
        <v>429</v>
      </c>
      <c r="K308" s="83">
        <v>1090</v>
      </c>
      <c r="L308" s="83"/>
      <c r="M308" s="83"/>
      <c r="N308" s="83"/>
      <c r="O308" s="83"/>
      <c r="P308" s="83"/>
      <c r="Q308" s="83"/>
      <c r="R308" s="191"/>
      <c r="S308" s="83"/>
      <c r="T308" s="83">
        <v>1</v>
      </c>
      <c r="U308" s="83">
        <v>1090</v>
      </c>
      <c r="V308" s="83"/>
      <c r="W308" s="83"/>
      <c r="X308" s="167"/>
      <c r="Y308" s="168"/>
      <c r="Z308" s="168"/>
      <c r="AA308" s="168"/>
      <c r="AB308" s="168"/>
      <c r="AC308" s="168"/>
      <c r="AD308" s="168"/>
      <c r="AE308" s="168"/>
    </row>
    <row r="309" spans="1:31" s="141" customFormat="1" x14ac:dyDescent="0.25">
      <c r="A309" s="138"/>
      <c r="B309" s="165"/>
      <c r="C309" s="110"/>
      <c r="D309" s="80"/>
      <c r="E309" s="80"/>
      <c r="F309" s="110"/>
      <c r="G309" s="81"/>
      <c r="H309" s="81"/>
      <c r="I309" s="151"/>
      <c r="J309" s="83"/>
      <c r="K309" s="83"/>
      <c r="L309" s="83"/>
      <c r="M309" s="83"/>
      <c r="N309" s="83"/>
      <c r="O309" s="83"/>
      <c r="P309" s="83"/>
      <c r="Q309" s="83"/>
      <c r="R309" s="191"/>
      <c r="S309" s="83"/>
      <c r="T309" s="83"/>
      <c r="U309" s="83"/>
      <c r="V309" s="83"/>
      <c r="W309" s="83"/>
      <c r="X309" s="167"/>
      <c r="Y309" s="168"/>
      <c r="Z309" s="168"/>
      <c r="AA309" s="168"/>
      <c r="AB309" s="168"/>
      <c r="AC309" s="168"/>
      <c r="AD309" s="168"/>
      <c r="AE309" s="168"/>
    </row>
    <row r="310" spans="1:31" s="141" customFormat="1" x14ac:dyDescent="0.25">
      <c r="A310" s="138"/>
      <c r="B310" s="165"/>
      <c r="C310" s="110"/>
      <c r="D310" s="80"/>
      <c r="E310" s="80"/>
      <c r="F310" s="110"/>
      <c r="G310" s="81"/>
      <c r="H310" s="81"/>
      <c r="I310" s="151"/>
      <c r="J310" s="83"/>
      <c r="K310" s="83"/>
      <c r="L310" s="83"/>
      <c r="M310" s="83"/>
      <c r="N310" s="83"/>
      <c r="O310" s="83"/>
      <c r="P310" s="83"/>
      <c r="Q310" s="83"/>
      <c r="R310" s="191"/>
      <c r="S310" s="83"/>
      <c r="T310" s="83"/>
      <c r="U310" s="83"/>
      <c r="V310" s="83"/>
      <c r="W310" s="83"/>
      <c r="X310" s="167"/>
      <c r="Y310" s="168"/>
      <c r="Z310" s="168"/>
      <c r="AA310" s="168"/>
      <c r="AB310" s="168"/>
      <c r="AC310" s="168"/>
      <c r="AD310" s="168"/>
      <c r="AE310" s="168"/>
    </row>
    <row r="311" spans="1:31" s="141" customFormat="1" x14ac:dyDescent="0.25">
      <c r="A311" s="138"/>
      <c r="B311" s="165"/>
      <c r="C311" s="110"/>
      <c r="D311" s="80"/>
      <c r="E311" s="80"/>
      <c r="F311" s="110"/>
      <c r="G311" s="81"/>
      <c r="H311" s="81"/>
      <c r="I311" s="151"/>
      <c r="J311" s="83"/>
      <c r="K311" s="83"/>
      <c r="L311" s="83"/>
      <c r="M311" s="83"/>
      <c r="N311" s="83"/>
      <c r="O311" s="83"/>
      <c r="P311" s="83"/>
      <c r="Q311" s="83"/>
      <c r="R311" s="191"/>
      <c r="S311" s="83"/>
      <c r="T311" s="83"/>
      <c r="U311" s="83"/>
      <c r="V311" s="83"/>
      <c r="W311" s="83"/>
      <c r="X311" s="167"/>
      <c r="Y311" s="168"/>
      <c r="Z311" s="168"/>
      <c r="AA311" s="168"/>
      <c r="AB311" s="168"/>
      <c r="AC311" s="168"/>
      <c r="AD311" s="168"/>
      <c r="AE311" s="168"/>
    </row>
    <row r="312" spans="1:31" s="141" customFormat="1" x14ac:dyDescent="0.25">
      <c r="A312" s="138"/>
      <c r="B312" s="165"/>
      <c r="C312" s="110"/>
      <c r="D312" s="80"/>
      <c r="E312" s="80"/>
      <c r="F312" s="110"/>
      <c r="G312" s="81"/>
      <c r="H312" s="81"/>
      <c r="I312" s="151"/>
      <c r="J312" s="83"/>
      <c r="K312" s="83"/>
      <c r="L312" s="83"/>
      <c r="M312" s="83"/>
      <c r="N312" s="83"/>
      <c r="O312" s="83"/>
      <c r="P312" s="83"/>
      <c r="Q312" s="83"/>
      <c r="R312" s="191"/>
      <c r="S312" s="83"/>
      <c r="T312" s="83"/>
      <c r="U312" s="83"/>
      <c r="V312" s="83"/>
      <c r="W312" s="83"/>
      <c r="X312" s="167"/>
      <c r="Y312" s="168"/>
      <c r="Z312" s="168"/>
      <c r="AA312" s="168"/>
      <c r="AB312" s="168"/>
      <c r="AC312" s="168"/>
      <c r="AD312" s="168"/>
      <c r="AE312" s="168"/>
    </row>
    <row r="313" spans="1:31" s="141" customFormat="1" x14ac:dyDescent="0.25">
      <c r="A313" s="138"/>
      <c r="B313" s="165"/>
      <c r="C313" s="110"/>
      <c r="D313" s="80"/>
      <c r="E313" s="80"/>
      <c r="F313" s="110"/>
      <c r="G313" s="81"/>
      <c r="H313" s="81"/>
      <c r="I313" s="151"/>
      <c r="J313" s="83"/>
      <c r="K313" s="83"/>
      <c r="L313" s="83"/>
      <c r="M313" s="83"/>
      <c r="N313" s="83"/>
      <c r="O313" s="83"/>
      <c r="P313" s="83"/>
      <c r="Q313" s="83"/>
      <c r="R313" s="191"/>
      <c r="S313" s="83"/>
      <c r="T313" s="83"/>
      <c r="U313" s="83"/>
      <c r="V313" s="83"/>
      <c r="W313" s="83"/>
      <c r="X313" s="167"/>
      <c r="Y313" s="168"/>
      <c r="Z313" s="168"/>
      <c r="AA313" s="168"/>
      <c r="AB313" s="168"/>
      <c r="AC313" s="168"/>
      <c r="AD313" s="168"/>
      <c r="AE313" s="168"/>
    </row>
    <row r="314" spans="1:31" s="141" customFormat="1" x14ac:dyDescent="0.25">
      <c r="A314" s="138"/>
      <c r="B314" s="165"/>
      <c r="C314" s="110"/>
      <c r="D314" s="80"/>
      <c r="E314" s="80"/>
      <c r="F314" s="110"/>
      <c r="G314" s="81"/>
      <c r="H314" s="81"/>
      <c r="I314" s="151"/>
      <c r="J314" s="83"/>
      <c r="K314" s="83"/>
      <c r="L314" s="83"/>
      <c r="M314" s="83"/>
      <c r="N314" s="83"/>
      <c r="O314" s="83"/>
      <c r="P314" s="83"/>
      <c r="Q314" s="83"/>
      <c r="R314" s="191"/>
      <c r="S314" s="83"/>
      <c r="T314" s="83"/>
      <c r="U314" s="83"/>
      <c r="V314" s="83"/>
      <c r="W314" s="83"/>
      <c r="X314" s="167"/>
      <c r="Y314" s="168"/>
      <c r="Z314" s="168"/>
      <c r="AA314" s="168"/>
      <c r="AB314" s="168"/>
      <c r="AC314" s="168"/>
      <c r="AD314" s="168"/>
      <c r="AE314" s="168"/>
    </row>
    <row r="315" spans="1:31" s="141" customFormat="1" x14ac:dyDescent="0.25">
      <c r="A315" s="138"/>
      <c r="B315" s="165"/>
      <c r="C315" s="110"/>
      <c r="D315" s="80"/>
      <c r="E315" s="80"/>
      <c r="F315" s="110"/>
      <c r="G315" s="81"/>
      <c r="H315" s="81"/>
      <c r="I315" s="151"/>
      <c r="J315" s="83"/>
      <c r="K315" s="83"/>
      <c r="L315" s="83"/>
      <c r="M315" s="83"/>
      <c r="N315" s="83"/>
      <c r="O315" s="83"/>
      <c r="P315" s="83"/>
      <c r="Q315" s="83"/>
      <c r="R315" s="191"/>
      <c r="S315" s="83"/>
      <c r="T315" s="83"/>
      <c r="U315" s="83"/>
      <c r="V315" s="83"/>
      <c r="W315" s="83"/>
      <c r="X315" s="167"/>
      <c r="Y315" s="168"/>
      <c r="Z315" s="168"/>
      <c r="AA315" s="168"/>
      <c r="AB315" s="168"/>
      <c r="AC315" s="168"/>
      <c r="AD315" s="168"/>
      <c r="AE315" s="168"/>
    </row>
    <row r="316" spans="1:31" s="141" customFormat="1" x14ac:dyDescent="0.25">
      <c r="A316" s="138"/>
      <c r="B316" s="165"/>
      <c r="C316" s="110"/>
      <c r="D316" s="80"/>
      <c r="E316" s="80"/>
      <c r="F316" s="110"/>
      <c r="G316" s="81"/>
      <c r="H316" s="81"/>
      <c r="I316" s="151"/>
      <c r="J316" s="83"/>
      <c r="K316" s="83"/>
      <c r="L316" s="83"/>
      <c r="M316" s="83"/>
      <c r="N316" s="83"/>
      <c r="O316" s="83"/>
      <c r="P316" s="83"/>
      <c r="Q316" s="83"/>
      <c r="R316" s="191"/>
      <c r="S316" s="83"/>
      <c r="T316" s="83"/>
      <c r="U316" s="83"/>
      <c r="V316" s="83"/>
      <c r="W316" s="83"/>
      <c r="X316" s="167"/>
      <c r="Y316" s="168"/>
      <c r="Z316" s="168"/>
      <c r="AA316" s="168"/>
      <c r="AB316" s="168"/>
      <c r="AC316" s="168"/>
      <c r="AD316" s="168"/>
      <c r="AE316" s="168"/>
    </row>
    <row r="317" spans="1:31" s="141" customFormat="1" x14ac:dyDescent="0.25">
      <c r="A317" s="138"/>
      <c r="B317" s="165"/>
      <c r="C317" s="110"/>
      <c r="D317" s="80"/>
      <c r="E317" s="80"/>
      <c r="F317" s="110"/>
      <c r="G317" s="81"/>
      <c r="H317" s="81"/>
      <c r="I317" s="151"/>
      <c r="J317" s="83"/>
      <c r="K317" s="83"/>
      <c r="L317" s="83"/>
      <c r="M317" s="83"/>
      <c r="N317" s="83"/>
      <c r="O317" s="83"/>
      <c r="P317" s="83"/>
      <c r="Q317" s="83"/>
      <c r="R317" s="191"/>
      <c r="S317" s="83"/>
      <c r="T317" s="83"/>
      <c r="U317" s="83"/>
      <c r="V317" s="83"/>
      <c r="W317" s="83"/>
      <c r="X317" s="167"/>
      <c r="Y317" s="168"/>
      <c r="Z317" s="168"/>
      <c r="AA317" s="168"/>
      <c r="AB317" s="168"/>
      <c r="AC317" s="168"/>
      <c r="AD317" s="168"/>
      <c r="AE317" s="168"/>
    </row>
    <row r="318" spans="1:31" s="141" customFormat="1" x14ac:dyDescent="0.25">
      <c r="A318" s="138"/>
      <c r="B318" s="165"/>
      <c r="C318" s="110"/>
      <c r="D318" s="80"/>
      <c r="E318" s="80"/>
      <c r="F318" s="110"/>
      <c r="G318" s="81"/>
      <c r="H318" s="81"/>
      <c r="I318" s="151"/>
      <c r="J318" s="83"/>
      <c r="K318" s="83"/>
      <c r="L318" s="83"/>
      <c r="M318" s="83"/>
      <c r="N318" s="83"/>
      <c r="O318" s="83"/>
      <c r="P318" s="83"/>
      <c r="Q318" s="83"/>
      <c r="R318" s="191"/>
      <c r="S318" s="83"/>
      <c r="T318" s="83"/>
      <c r="U318" s="83"/>
      <c r="V318" s="83"/>
      <c r="W318" s="83"/>
      <c r="X318" s="167"/>
      <c r="Y318" s="168"/>
      <c r="Z318" s="168"/>
      <c r="AA318" s="168"/>
      <c r="AB318" s="168"/>
      <c r="AC318" s="168"/>
      <c r="AD318" s="168"/>
      <c r="AE318" s="168"/>
    </row>
    <row r="319" spans="1:31" s="141" customFormat="1" x14ac:dyDescent="0.25">
      <c r="A319" s="138"/>
      <c r="B319" s="165"/>
      <c r="C319" s="110"/>
      <c r="D319" s="80"/>
      <c r="E319" s="80"/>
      <c r="F319" s="110"/>
      <c r="G319" s="81"/>
      <c r="H319" s="81"/>
      <c r="I319" s="151"/>
      <c r="J319" s="83"/>
      <c r="K319" s="83"/>
      <c r="L319" s="83"/>
      <c r="M319" s="83"/>
      <c r="N319" s="83"/>
      <c r="O319" s="83"/>
      <c r="P319" s="83"/>
      <c r="Q319" s="83"/>
      <c r="R319" s="191"/>
      <c r="S319" s="83"/>
      <c r="T319" s="83"/>
      <c r="U319" s="83"/>
      <c r="V319" s="83"/>
      <c r="W319" s="83"/>
      <c r="X319" s="167"/>
      <c r="Y319" s="168"/>
      <c r="Z319" s="168"/>
      <c r="AA319" s="168"/>
      <c r="AB319" s="168"/>
      <c r="AC319" s="168"/>
      <c r="AD319" s="168"/>
      <c r="AE319" s="168"/>
    </row>
    <row r="320" spans="1:31" s="141" customFormat="1" x14ac:dyDescent="0.25">
      <c r="A320" s="138"/>
      <c r="B320" s="165"/>
      <c r="C320" s="110"/>
      <c r="D320" s="80"/>
      <c r="E320" s="80"/>
      <c r="F320" s="110"/>
      <c r="G320" s="81"/>
      <c r="H320" s="81"/>
      <c r="I320" s="151"/>
      <c r="J320" s="83"/>
      <c r="K320" s="83"/>
      <c r="L320" s="83"/>
      <c r="M320" s="83"/>
      <c r="N320" s="83"/>
      <c r="O320" s="83"/>
      <c r="P320" s="83"/>
      <c r="Q320" s="83"/>
      <c r="R320" s="191"/>
      <c r="S320" s="83"/>
      <c r="T320" s="83"/>
      <c r="U320" s="83"/>
      <c r="V320" s="83"/>
      <c r="W320" s="83"/>
      <c r="X320" s="167"/>
      <c r="Y320" s="168"/>
      <c r="Z320" s="168"/>
      <c r="AA320" s="168"/>
      <c r="AB320" s="168"/>
      <c r="AC320" s="168"/>
      <c r="AD320" s="168"/>
      <c r="AE320" s="168"/>
    </row>
    <row r="321" spans="1:31" s="141" customFormat="1" x14ac:dyDescent="0.25">
      <c r="A321" s="138"/>
      <c r="B321" s="165"/>
      <c r="C321" s="110"/>
      <c r="D321" s="80"/>
      <c r="E321" s="80"/>
      <c r="F321" s="110"/>
      <c r="G321" s="81"/>
      <c r="H321" s="81"/>
      <c r="I321" s="151"/>
      <c r="J321" s="83"/>
      <c r="K321" s="83"/>
      <c r="L321" s="83"/>
      <c r="M321" s="83"/>
      <c r="N321" s="83"/>
      <c r="O321" s="83"/>
      <c r="P321" s="83"/>
      <c r="Q321" s="83"/>
      <c r="R321" s="191"/>
      <c r="S321" s="83"/>
      <c r="T321" s="83"/>
      <c r="U321" s="83"/>
      <c r="V321" s="83"/>
      <c r="W321" s="83"/>
      <c r="X321" s="167"/>
      <c r="Y321" s="168"/>
      <c r="Z321" s="168"/>
      <c r="AA321" s="168"/>
      <c r="AB321" s="168"/>
      <c r="AC321" s="168"/>
      <c r="AD321" s="168"/>
      <c r="AE321" s="168"/>
    </row>
    <row r="322" spans="1:31" s="141" customFormat="1" x14ac:dyDescent="0.25">
      <c r="A322" s="138"/>
      <c r="B322" s="165"/>
      <c r="C322" s="110"/>
      <c r="D322" s="80"/>
      <c r="E322" s="80"/>
      <c r="F322" s="110"/>
      <c r="G322" s="81"/>
      <c r="H322" s="81"/>
      <c r="I322" s="151"/>
      <c r="J322" s="83"/>
      <c r="K322" s="83"/>
      <c r="L322" s="83"/>
      <c r="M322" s="83"/>
      <c r="N322" s="83"/>
      <c r="O322" s="83"/>
      <c r="P322" s="83"/>
      <c r="Q322" s="83"/>
      <c r="R322" s="191"/>
      <c r="S322" s="83"/>
      <c r="T322" s="83"/>
      <c r="U322" s="83"/>
      <c r="V322" s="83"/>
      <c r="W322" s="83"/>
      <c r="X322" s="167"/>
      <c r="Y322" s="168"/>
      <c r="Z322" s="168"/>
      <c r="AA322" s="168"/>
      <c r="AB322" s="168"/>
      <c r="AC322" s="168"/>
      <c r="AD322" s="168"/>
      <c r="AE322" s="168"/>
    </row>
    <row r="323" spans="1:31" s="141" customFormat="1" x14ac:dyDescent="0.25">
      <c r="A323" s="138"/>
      <c r="B323" s="165"/>
      <c r="C323" s="110"/>
      <c r="D323" s="80"/>
      <c r="E323" s="80"/>
      <c r="F323" s="110"/>
      <c r="G323" s="81"/>
      <c r="H323" s="81"/>
      <c r="I323" s="151"/>
      <c r="J323" s="83"/>
      <c r="K323" s="83"/>
      <c r="L323" s="83"/>
      <c r="M323" s="83"/>
      <c r="N323" s="83"/>
      <c r="O323" s="83"/>
      <c r="P323" s="83"/>
      <c r="Q323" s="83"/>
      <c r="R323" s="191"/>
      <c r="S323" s="83"/>
      <c r="T323" s="83"/>
      <c r="U323" s="83"/>
      <c r="V323" s="83"/>
      <c r="W323" s="83"/>
      <c r="X323" s="167"/>
      <c r="Y323" s="168"/>
      <c r="Z323" s="168"/>
      <c r="AA323" s="168"/>
      <c r="AB323" s="168"/>
      <c r="AC323" s="168"/>
      <c r="AD323" s="168"/>
      <c r="AE323" s="168"/>
    </row>
    <row r="324" spans="1:31" s="141" customFormat="1" x14ac:dyDescent="0.25">
      <c r="A324" s="138"/>
      <c r="B324" s="165"/>
      <c r="C324" s="110"/>
      <c r="D324" s="80"/>
      <c r="E324" s="80"/>
      <c r="F324" s="110"/>
      <c r="G324" s="81"/>
      <c r="H324" s="81"/>
      <c r="I324" s="151"/>
      <c r="J324" s="83"/>
      <c r="K324" s="83"/>
      <c r="L324" s="83"/>
      <c r="M324" s="83"/>
      <c r="N324" s="83"/>
      <c r="O324" s="83"/>
      <c r="P324" s="83"/>
      <c r="Q324" s="83"/>
      <c r="R324" s="191"/>
      <c r="S324" s="83"/>
      <c r="T324" s="83"/>
      <c r="U324" s="83"/>
      <c r="V324" s="83"/>
      <c r="W324" s="83"/>
      <c r="X324" s="167"/>
      <c r="Y324" s="168"/>
      <c r="Z324" s="168"/>
      <c r="AA324" s="168"/>
      <c r="AB324" s="168"/>
      <c r="AC324" s="168"/>
      <c r="AD324" s="168"/>
      <c r="AE324" s="168"/>
    </row>
    <row r="325" spans="1:31" s="141" customFormat="1" x14ac:dyDescent="0.25">
      <c r="A325" s="138"/>
      <c r="B325" s="165"/>
      <c r="C325" s="110"/>
      <c r="D325" s="80"/>
      <c r="E325" s="80"/>
      <c r="F325" s="110"/>
      <c r="G325" s="81"/>
      <c r="H325" s="81"/>
      <c r="I325" s="151"/>
      <c r="J325" s="83"/>
      <c r="K325" s="83"/>
      <c r="L325" s="83"/>
      <c r="M325" s="83"/>
      <c r="N325" s="83"/>
      <c r="O325" s="83"/>
      <c r="P325" s="83"/>
      <c r="Q325" s="83"/>
      <c r="R325" s="191"/>
      <c r="S325" s="83"/>
      <c r="T325" s="83"/>
      <c r="U325" s="83"/>
      <c r="V325" s="83"/>
      <c r="W325" s="83"/>
      <c r="X325" s="167"/>
      <c r="Y325" s="168"/>
      <c r="Z325" s="168"/>
      <c r="AA325" s="168"/>
      <c r="AB325" s="168"/>
      <c r="AC325" s="168"/>
      <c r="AD325" s="168"/>
      <c r="AE325" s="168"/>
    </row>
    <row r="326" spans="1:31" s="141" customFormat="1" x14ac:dyDescent="0.25">
      <c r="A326" s="138"/>
      <c r="B326" s="165"/>
      <c r="C326" s="110"/>
      <c r="D326" s="80"/>
      <c r="E326" s="80"/>
      <c r="F326" s="110"/>
      <c r="G326" s="81"/>
      <c r="H326" s="81"/>
      <c r="I326" s="151"/>
      <c r="J326" s="83"/>
      <c r="K326" s="83"/>
      <c r="L326" s="83"/>
      <c r="M326" s="83"/>
      <c r="N326" s="83"/>
      <c r="O326" s="83"/>
      <c r="P326" s="83"/>
      <c r="Q326" s="83"/>
      <c r="R326" s="191"/>
      <c r="S326" s="83"/>
      <c r="T326" s="83"/>
      <c r="U326" s="83"/>
      <c r="V326" s="83"/>
      <c r="W326" s="83"/>
      <c r="X326" s="167"/>
      <c r="Y326" s="168"/>
      <c r="Z326" s="168"/>
      <c r="AA326" s="168"/>
      <c r="AB326" s="168"/>
      <c r="AC326" s="168"/>
      <c r="AD326" s="168"/>
      <c r="AE326" s="168"/>
    </row>
    <row r="327" spans="1:31" s="141" customFormat="1" x14ac:dyDescent="0.25">
      <c r="A327" s="138"/>
      <c r="B327" s="165"/>
      <c r="C327" s="110"/>
      <c r="D327" s="80"/>
      <c r="E327" s="80"/>
      <c r="F327" s="110"/>
      <c r="G327" s="81"/>
      <c r="H327" s="81"/>
      <c r="I327" s="151"/>
      <c r="J327" s="83"/>
      <c r="K327" s="83"/>
      <c r="L327" s="83"/>
      <c r="M327" s="83"/>
      <c r="N327" s="83"/>
      <c r="O327" s="83"/>
      <c r="P327" s="83"/>
      <c r="Q327" s="83"/>
      <c r="R327" s="191"/>
      <c r="S327" s="83"/>
      <c r="T327" s="83"/>
      <c r="U327" s="83"/>
      <c r="V327" s="83"/>
      <c r="W327" s="83"/>
      <c r="X327" s="167"/>
      <c r="Y327" s="168"/>
      <c r="Z327" s="168"/>
      <c r="AA327" s="168"/>
      <c r="AB327" s="168"/>
      <c r="AC327" s="168"/>
      <c r="AD327" s="168"/>
      <c r="AE327" s="168"/>
    </row>
    <row r="328" spans="1:31" s="141" customFormat="1" x14ac:dyDescent="0.25">
      <c r="A328" s="138"/>
      <c r="B328" s="165"/>
      <c r="C328" s="110"/>
      <c r="D328" s="80"/>
      <c r="E328" s="80"/>
      <c r="F328" s="110"/>
      <c r="G328" s="81"/>
      <c r="H328" s="81"/>
      <c r="I328" s="151"/>
      <c r="J328" s="83"/>
      <c r="K328" s="83"/>
      <c r="L328" s="83"/>
      <c r="M328" s="83"/>
      <c r="N328" s="83"/>
      <c r="O328" s="83"/>
      <c r="P328" s="83"/>
      <c r="Q328" s="83"/>
      <c r="R328" s="191"/>
      <c r="S328" s="83"/>
      <c r="T328" s="83"/>
      <c r="U328" s="83"/>
      <c r="V328" s="83"/>
      <c r="W328" s="83"/>
      <c r="X328" s="167"/>
      <c r="Y328" s="168"/>
      <c r="Z328" s="168"/>
      <c r="AA328" s="168"/>
      <c r="AB328" s="168"/>
      <c r="AC328" s="168"/>
      <c r="AD328" s="168"/>
      <c r="AE328" s="168"/>
    </row>
    <row r="329" spans="1:31" s="141" customFormat="1" x14ac:dyDescent="0.25">
      <c r="A329" s="138"/>
      <c r="B329" s="165"/>
      <c r="C329" s="110"/>
      <c r="D329" s="80"/>
      <c r="E329" s="80"/>
      <c r="F329" s="110"/>
      <c r="G329" s="81"/>
      <c r="H329" s="81"/>
      <c r="I329" s="151"/>
      <c r="J329" s="83"/>
      <c r="K329" s="83"/>
      <c r="L329" s="83"/>
      <c r="M329" s="83"/>
      <c r="N329" s="83"/>
      <c r="O329" s="83"/>
      <c r="P329" s="83"/>
      <c r="Q329" s="83"/>
      <c r="R329" s="191"/>
      <c r="S329" s="83"/>
      <c r="T329" s="83"/>
      <c r="U329" s="83"/>
      <c r="V329" s="83"/>
      <c r="W329" s="83"/>
      <c r="X329" s="167"/>
      <c r="Y329" s="168"/>
      <c r="Z329" s="168"/>
      <c r="AA329" s="168"/>
      <c r="AB329" s="168"/>
      <c r="AC329" s="168"/>
      <c r="AD329" s="168"/>
      <c r="AE329" s="168"/>
    </row>
    <row r="330" spans="1:31" s="141" customFormat="1" x14ac:dyDescent="0.25">
      <c r="A330" s="138"/>
      <c r="B330" s="165"/>
      <c r="C330" s="110"/>
      <c r="D330" s="80"/>
      <c r="E330" s="80"/>
      <c r="F330" s="110"/>
      <c r="G330" s="81"/>
      <c r="H330" s="81"/>
      <c r="I330" s="151"/>
      <c r="J330" s="83"/>
      <c r="K330" s="83"/>
      <c r="L330" s="83"/>
      <c r="M330" s="83"/>
      <c r="N330" s="83"/>
      <c r="O330" s="83"/>
      <c r="P330" s="83"/>
      <c r="Q330" s="83"/>
      <c r="R330" s="191"/>
      <c r="S330" s="83"/>
      <c r="T330" s="83"/>
      <c r="U330" s="83"/>
      <c r="V330" s="83"/>
      <c r="W330" s="83"/>
      <c r="X330" s="167"/>
      <c r="Y330" s="168"/>
      <c r="Z330" s="168"/>
      <c r="AA330" s="168"/>
      <c r="AB330" s="168"/>
      <c r="AC330" s="168"/>
      <c r="AD330" s="168"/>
      <c r="AE330" s="168"/>
    </row>
    <row r="331" spans="1:31" s="141" customFormat="1" x14ac:dyDescent="0.25">
      <c r="A331" s="138"/>
      <c r="B331" s="165"/>
      <c r="C331" s="110"/>
      <c r="D331" s="80"/>
      <c r="E331" s="80"/>
      <c r="F331" s="110"/>
      <c r="G331" s="81"/>
      <c r="H331" s="81"/>
      <c r="I331" s="151"/>
      <c r="J331" s="83"/>
      <c r="K331" s="83"/>
      <c r="L331" s="83"/>
      <c r="M331" s="83"/>
      <c r="N331" s="83"/>
      <c r="O331" s="83"/>
      <c r="P331" s="83"/>
      <c r="Q331" s="83"/>
      <c r="R331" s="191"/>
      <c r="S331" s="83"/>
      <c r="T331" s="83"/>
      <c r="U331" s="83"/>
      <c r="V331" s="83"/>
      <c r="W331" s="83"/>
      <c r="X331" s="167"/>
      <c r="Y331" s="168"/>
      <c r="Z331" s="168"/>
      <c r="AA331" s="168"/>
      <c r="AB331" s="168"/>
      <c r="AC331" s="168"/>
      <c r="AD331" s="168"/>
      <c r="AE331" s="168"/>
    </row>
    <row r="332" spans="1:31" s="141" customFormat="1" x14ac:dyDescent="0.25">
      <c r="A332" s="138"/>
      <c r="B332" s="165"/>
      <c r="C332" s="110"/>
      <c r="D332" s="80"/>
      <c r="E332" s="80"/>
      <c r="F332" s="110"/>
      <c r="G332" s="81"/>
      <c r="H332" s="81"/>
      <c r="I332" s="151"/>
      <c r="J332" s="83"/>
      <c r="K332" s="83"/>
      <c r="L332" s="83"/>
      <c r="M332" s="83"/>
      <c r="N332" s="83"/>
      <c r="O332" s="83"/>
      <c r="P332" s="83"/>
      <c r="Q332" s="83"/>
      <c r="R332" s="191"/>
      <c r="S332" s="83"/>
      <c r="T332" s="83"/>
      <c r="U332" s="83"/>
      <c r="V332" s="83"/>
      <c r="W332" s="83"/>
      <c r="X332" s="167"/>
      <c r="Y332" s="168"/>
      <c r="Z332" s="168"/>
      <c r="AA332" s="168"/>
      <c r="AB332" s="168"/>
      <c r="AC332" s="168"/>
      <c r="AD332" s="168"/>
      <c r="AE332" s="168"/>
    </row>
    <row r="333" spans="1:31" s="141" customFormat="1" x14ac:dyDescent="0.25">
      <c r="A333" s="138"/>
      <c r="B333" s="165"/>
      <c r="C333" s="110"/>
      <c r="D333" s="80"/>
      <c r="E333" s="80"/>
      <c r="F333" s="110"/>
      <c r="G333" s="81"/>
      <c r="H333" s="81"/>
      <c r="I333" s="151"/>
      <c r="J333" s="83"/>
      <c r="K333" s="83"/>
      <c r="L333" s="83"/>
      <c r="M333" s="83"/>
      <c r="N333" s="83"/>
      <c r="O333" s="83"/>
      <c r="P333" s="83"/>
      <c r="Q333" s="83"/>
      <c r="R333" s="191"/>
      <c r="S333" s="83"/>
      <c r="T333" s="83"/>
      <c r="U333" s="83"/>
      <c r="V333" s="83"/>
      <c r="W333" s="83"/>
      <c r="X333" s="167"/>
      <c r="Y333" s="168"/>
      <c r="Z333" s="168"/>
      <c r="AA333" s="168"/>
      <c r="AB333" s="168"/>
      <c r="AC333" s="168"/>
      <c r="AD333" s="168"/>
      <c r="AE333" s="168"/>
    </row>
    <row r="334" spans="1:31" s="141" customFormat="1" x14ac:dyDescent="0.25">
      <c r="A334" s="138"/>
      <c r="B334" s="165"/>
      <c r="C334" s="110"/>
      <c r="D334" s="80"/>
      <c r="E334" s="80"/>
      <c r="F334" s="110"/>
      <c r="G334" s="81"/>
      <c r="H334" s="81"/>
      <c r="I334" s="151"/>
      <c r="J334" s="83"/>
      <c r="K334" s="83"/>
      <c r="L334" s="83"/>
      <c r="M334" s="83"/>
      <c r="N334" s="83"/>
      <c r="O334" s="83"/>
      <c r="P334" s="83"/>
      <c r="Q334" s="83"/>
      <c r="R334" s="191"/>
      <c r="S334" s="83"/>
      <c r="T334" s="83"/>
      <c r="U334" s="83"/>
      <c r="V334" s="83"/>
      <c r="W334" s="83"/>
      <c r="X334" s="167"/>
      <c r="Y334" s="168"/>
      <c r="Z334" s="168"/>
      <c r="AA334" s="168"/>
      <c r="AB334" s="168"/>
      <c r="AC334" s="168"/>
      <c r="AD334" s="168"/>
      <c r="AE334" s="168"/>
    </row>
    <row r="335" spans="1:31" s="141" customFormat="1" x14ac:dyDescent="0.25">
      <c r="A335" s="138"/>
      <c r="B335" s="165"/>
      <c r="C335" s="110"/>
      <c r="D335" s="80"/>
      <c r="E335" s="80"/>
      <c r="F335" s="110"/>
      <c r="G335" s="81"/>
      <c r="H335" s="81"/>
      <c r="I335" s="151"/>
      <c r="J335" s="83"/>
      <c r="K335" s="83"/>
      <c r="L335" s="83"/>
      <c r="M335" s="83"/>
      <c r="N335" s="83"/>
      <c r="O335" s="83"/>
      <c r="P335" s="83"/>
      <c r="Q335" s="83"/>
      <c r="R335" s="191"/>
      <c r="S335" s="83"/>
      <c r="T335" s="83"/>
      <c r="U335" s="83"/>
      <c r="V335" s="83"/>
      <c r="W335" s="83"/>
      <c r="X335" s="167"/>
      <c r="Y335" s="168"/>
      <c r="Z335" s="168"/>
      <c r="AA335" s="168"/>
      <c r="AB335" s="168"/>
      <c r="AC335" s="168"/>
      <c r="AD335" s="168"/>
      <c r="AE335" s="168"/>
    </row>
    <row r="336" spans="1:31" s="141" customFormat="1" x14ac:dyDescent="0.25">
      <c r="A336" s="138"/>
      <c r="B336" s="165"/>
      <c r="C336" s="110"/>
      <c r="D336" s="80"/>
      <c r="E336" s="80"/>
      <c r="F336" s="110"/>
      <c r="G336" s="81"/>
      <c r="H336" s="81"/>
      <c r="I336" s="151"/>
      <c r="J336" s="83"/>
      <c r="K336" s="83"/>
      <c r="L336" s="83"/>
      <c r="M336" s="83"/>
      <c r="N336" s="83"/>
      <c r="O336" s="83"/>
      <c r="P336" s="83"/>
      <c r="Q336" s="83"/>
      <c r="R336" s="191"/>
      <c r="S336" s="83"/>
      <c r="T336" s="83"/>
      <c r="U336" s="83"/>
      <c r="V336" s="83"/>
      <c r="W336" s="83"/>
      <c r="X336" s="167"/>
      <c r="Y336" s="168"/>
      <c r="Z336" s="168"/>
      <c r="AA336" s="168"/>
      <c r="AB336" s="168"/>
      <c r="AC336" s="168"/>
      <c r="AD336" s="168"/>
      <c r="AE336" s="168"/>
    </row>
    <row r="337" spans="1:256" s="141" customFormat="1" x14ac:dyDescent="0.25">
      <c r="A337" s="138"/>
      <c r="B337" s="165"/>
      <c r="C337" s="110"/>
      <c r="D337" s="80"/>
      <c r="E337" s="80"/>
      <c r="F337" s="110"/>
      <c r="G337" s="81"/>
      <c r="H337" s="81"/>
      <c r="I337" s="151"/>
      <c r="J337" s="83"/>
      <c r="K337" s="83"/>
      <c r="L337" s="83"/>
      <c r="M337" s="83"/>
      <c r="N337" s="83"/>
      <c r="O337" s="83"/>
      <c r="P337" s="83"/>
      <c r="Q337" s="83"/>
      <c r="R337" s="191"/>
      <c r="S337" s="83"/>
      <c r="T337" s="83"/>
      <c r="U337" s="83"/>
      <c r="V337" s="83"/>
      <c r="W337" s="83"/>
      <c r="X337" s="167"/>
      <c r="Y337" s="168"/>
      <c r="Z337" s="168"/>
      <c r="AA337" s="168"/>
      <c r="AB337" s="168"/>
      <c r="AC337" s="168"/>
      <c r="AD337" s="168"/>
      <c r="AE337" s="168"/>
    </row>
    <row r="338" spans="1:256" s="141" customFormat="1" x14ac:dyDescent="0.25">
      <c r="A338" s="138"/>
      <c r="B338" s="165"/>
      <c r="C338" s="110"/>
      <c r="D338" s="80"/>
      <c r="E338" s="80"/>
      <c r="F338" s="110"/>
      <c r="G338" s="81"/>
      <c r="H338" s="81"/>
      <c r="I338" s="151"/>
      <c r="J338" s="83"/>
      <c r="K338" s="83"/>
      <c r="L338" s="83"/>
      <c r="M338" s="83"/>
      <c r="N338" s="83"/>
      <c r="O338" s="83"/>
      <c r="P338" s="83"/>
      <c r="Q338" s="83"/>
      <c r="R338" s="191"/>
      <c r="S338" s="83"/>
      <c r="T338" s="83"/>
      <c r="U338" s="83"/>
      <c r="V338" s="83"/>
      <c r="W338" s="83"/>
      <c r="X338" s="167"/>
      <c r="Y338" s="168"/>
      <c r="Z338" s="168"/>
      <c r="AA338" s="168"/>
      <c r="AB338" s="168"/>
      <c r="AC338" s="168"/>
      <c r="AD338" s="168"/>
      <c r="AE338" s="168"/>
    </row>
    <row r="339" spans="1:256" s="141" customFormat="1" x14ac:dyDescent="0.25">
      <c r="A339" s="138"/>
      <c r="B339" s="165"/>
      <c r="C339" s="110"/>
      <c r="D339" s="80"/>
      <c r="E339" s="80"/>
      <c r="F339" s="110"/>
      <c r="G339" s="81"/>
      <c r="H339" s="81"/>
      <c r="I339" s="151"/>
      <c r="J339" s="83"/>
      <c r="K339" s="83"/>
      <c r="L339" s="83"/>
      <c r="M339" s="83"/>
      <c r="N339" s="83"/>
      <c r="O339" s="83"/>
      <c r="P339" s="83"/>
      <c r="Q339" s="83"/>
      <c r="R339" s="191"/>
      <c r="S339" s="83"/>
      <c r="T339" s="83"/>
      <c r="U339" s="83"/>
      <c r="V339" s="83"/>
      <c r="W339" s="83"/>
      <c r="X339" s="167"/>
      <c r="Y339" s="168"/>
      <c r="Z339" s="168"/>
      <c r="AA339" s="168"/>
      <c r="AB339" s="168"/>
      <c r="AC339" s="168"/>
      <c r="AD339" s="168"/>
      <c r="AE339" s="168"/>
    </row>
    <row r="340" spans="1:256" s="141" customFormat="1" x14ac:dyDescent="0.25">
      <c r="A340" s="138"/>
      <c r="B340" s="165"/>
      <c r="C340" s="110"/>
      <c r="D340" s="80"/>
      <c r="E340" s="80"/>
      <c r="F340" s="110"/>
      <c r="G340" s="81"/>
      <c r="H340" s="81"/>
      <c r="I340" s="151"/>
      <c r="J340" s="83"/>
      <c r="K340" s="83"/>
      <c r="L340" s="83"/>
      <c r="M340" s="83"/>
      <c r="N340" s="83"/>
      <c r="O340" s="83"/>
      <c r="P340" s="83"/>
      <c r="Q340" s="83"/>
      <c r="R340" s="191"/>
      <c r="S340" s="83"/>
      <c r="T340" s="83"/>
      <c r="U340" s="83"/>
      <c r="V340" s="83"/>
      <c r="W340" s="83"/>
      <c r="X340" s="167"/>
      <c r="Y340" s="168"/>
      <c r="Z340" s="168"/>
      <c r="AA340" s="168"/>
      <c r="AB340" s="168"/>
      <c r="AC340" s="168"/>
      <c r="AD340" s="168"/>
      <c r="AE340" s="168"/>
    </row>
    <row r="341" spans="1:256" s="141" customFormat="1" x14ac:dyDescent="0.25">
      <c r="A341" s="138"/>
      <c r="B341" s="165"/>
      <c r="C341" s="110"/>
      <c r="D341" s="80"/>
      <c r="E341" s="80"/>
      <c r="F341" s="110"/>
      <c r="G341" s="81"/>
      <c r="H341" s="81"/>
      <c r="I341" s="151"/>
      <c r="J341" s="83"/>
      <c r="K341" s="83"/>
      <c r="L341" s="83"/>
      <c r="M341" s="83"/>
      <c r="N341" s="83"/>
      <c r="O341" s="83"/>
      <c r="P341" s="83"/>
      <c r="Q341" s="83"/>
      <c r="R341" s="191"/>
      <c r="S341" s="83"/>
      <c r="T341" s="83"/>
      <c r="U341" s="83"/>
      <c r="V341" s="83"/>
      <c r="W341" s="83"/>
      <c r="X341" s="167"/>
      <c r="Y341" s="168"/>
      <c r="Z341" s="168"/>
      <c r="AA341" s="168"/>
      <c r="AB341" s="168"/>
      <c r="AC341" s="168"/>
      <c r="AD341" s="168"/>
      <c r="AE341" s="168"/>
    </row>
    <row r="342" spans="1:256" s="141" customFormat="1" x14ac:dyDescent="0.25">
      <c r="A342" s="138"/>
      <c r="B342" s="165"/>
      <c r="C342" s="110"/>
      <c r="D342" s="80"/>
      <c r="E342" s="80"/>
      <c r="F342" s="110"/>
      <c r="G342" s="81"/>
      <c r="H342" s="81"/>
      <c r="I342" s="151"/>
      <c r="J342" s="83"/>
      <c r="K342" s="83"/>
      <c r="L342" s="83"/>
      <c r="M342" s="83"/>
      <c r="N342" s="83"/>
      <c r="O342" s="83"/>
      <c r="P342" s="83"/>
      <c r="Q342" s="83"/>
      <c r="R342" s="191"/>
      <c r="S342" s="83"/>
      <c r="T342" s="83"/>
      <c r="U342" s="83"/>
      <c r="V342" s="83"/>
      <c r="W342" s="83"/>
      <c r="X342" s="167"/>
      <c r="Y342" s="168"/>
      <c r="Z342" s="168"/>
      <c r="AA342" s="168"/>
      <c r="AB342" s="168"/>
      <c r="AC342" s="168"/>
      <c r="AD342" s="168"/>
      <c r="AE342" s="168"/>
    </row>
    <row r="343" spans="1:256" s="141" customFormat="1" x14ac:dyDescent="0.25">
      <c r="A343" s="138"/>
      <c r="B343" s="165"/>
      <c r="C343" s="110"/>
      <c r="D343" s="80"/>
      <c r="E343" s="80"/>
      <c r="F343" s="110"/>
      <c r="G343" s="81"/>
      <c r="H343" s="81"/>
      <c r="I343" s="151"/>
      <c r="J343" s="83"/>
      <c r="K343" s="83"/>
      <c r="L343" s="83"/>
      <c r="M343" s="83"/>
      <c r="N343" s="83"/>
      <c r="O343" s="83"/>
      <c r="P343" s="83"/>
      <c r="Q343" s="83"/>
      <c r="R343" s="191"/>
      <c r="S343" s="83"/>
      <c r="T343" s="83"/>
      <c r="U343" s="83"/>
      <c r="V343" s="83"/>
      <c r="W343" s="83"/>
      <c r="X343" s="167"/>
      <c r="Y343" s="168"/>
      <c r="Z343" s="168"/>
      <c r="AA343" s="168"/>
      <c r="AB343" s="168"/>
      <c r="AC343" s="168"/>
      <c r="AD343" s="168"/>
      <c r="AE343" s="168"/>
    </row>
    <row r="344" spans="1:256" s="141" customFormat="1" x14ac:dyDescent="0.25">
      <c r="A344" s="138"/>
      <c r="B344" s="165"/>
      <c r="C344" s="110"/>
      <c r="D344" s="80"/>
      <c r="E344" s="80"/>
      <c r="F344" s="110"/>
      <c r="G344" s="81"/>
      <c r="H344" s="81"/>
      <c r="I344" s="151"/>
      <c r="J344" s="83"/>
      <c r="K344" s="83"/>
      <c r="L344" s="83"/>
      <c r="M344" s="83"/>
      <c r="N344" s="83"/>
      <c r="O344" s="83"/>
      <c r="P344" s="83"/>
      <c r="Q344" s="83"/>
      <c r="R344" s="191"/>
      <c r="S344" s="83"/>
      <c r="T344" s="83"/>
      <c r="U344" s="83"/>
      <c r="V344" s="83"/>
      <c r="W344" s="83"/>
      <c r="X344" s="167"/>
      <c r="Y344" s="168"/>
      <c r="Z344" s="168"/>
      <c r="AA344" s="168"/>
      <c r="AB344" s="168"/>
      <c r="AC344" s="168"/>
      <c r="AD344" s="168"/>
      <c r="AE344" s="168"/>
    </row>
    <row r="345" spans="1:256" s="141" customFormat="1" x14ac:dyDescent="0.25">
      <c r="A345" s="138"/>
      <c r="B345" s="165"/>
      <c r="C345" s="110"/>
      <c r="D345" s="80"/>
      <c r="E345" s="80"/>
      <c r="F345" s="110"/>
      <c r="G345" s="81"/>
      <c r="H345" s="81"/>
      <c r="I345" s="151"/>
      <c r="J345" s="83"/>
      <c r="K345" s="83"/>
      <c r="L345" s="83"/>
      <c r="M345" s="83"/>
      <c r="N345" s="83"/>
      <c r="O345" s="83"/>
      <c r="P345" s="83"/>
      <c r="Q345" s="83"/>
      <c r="R345" s="191"/>
      <c r="S345" s="83"/>
      <c r="T345" s="83"/>
      <c r="U345" s="83"/>
      <c r="V345" s="83"/>
      <c r="W345" s="83"/>
      <c r="X345" s="167"/>
      <c r="Y345" s="168"/>
      <c r="Z345" s="168"/>
      <c r="AA345" s="168"/>
      <c r="AB345" s="168"/>
      <c r="AC345" s="168"/>
      <c r="AD345" s="168"/>
      <c r="AE345" s="168"/>
    </row>
    <row r="346" spans="1:256" s="164" customFormat="1" x14ac:dyDescent="0.25">
      <c r="A346" s="138"/>
      <c r="B346" s="175"/>
      <c r="C346" s="176"/>
      <c r="D346" s="202"/>
      <c r="E346" s="202"/>
      <c r="F346" s="203"/>
      <c r="G346" s="178"/>
      <c r="H346" s="178"/>
      <c r="I346" s="207"/>
      <c r="J346" s="170"/>
      <c r="K346" s="170">
        <v>9038095</v>
      </c>
      <c r="L346" s="170"/>
      <c r="M346" s="170"/>
      <c r="N346" s="170"/>
      <c r="O346" s="170"/>
      <c r="P346" s="170"/>
      <c r="Q346" s="170">
        <v>1186700</v>
      </c>
      <c r="R346" s="170"/>
      <c r="S346" s="170">
        <v>771200</v>
      </c>
      <c r="T346" s="170"/>
      <c r="U346" s="170">
        <v>3015295</v>
      </c>
      <c r="V346" s="170"/>
      <c r="W346" s="170">
        <v>4064900</v>
      </c>
      <c r="X346" s="181"/>
      <c r="Y346" s="182"/>
      <c r="Z346" s="183"/>
      <c r="AA346" s="183"/>
      <c r="AB346" s="183"/>
      <c r="AC346" s="183"/>
      <c r="AD346" s="183"/>
      <c r="AE346" s="183"/>
    </row>
    <row r="347" spans="1:256" s="164" customFormat="1" ht="14.25" x14ac:dyDescent="0.2">
      <c r="A347" s="140">
        <v>26</v>
      </c>
      <c r="B347" s="156"/>
      <c r="C347" s="157"/>
      <c r="D347" s="158" t="s">
        <v>211</v>
      </c>
      <c r="E347" s="158"/>
      <c r="F347" s="159"/>
      <c r="G347" s="160"/>
      <c r="H347" s="160"/>
      <c r="I347" s="161"/>
      <c r="J347" s="162"/>
      <c r="K347" s="162"/>
      <c r="L347" s="162"/>
      <c r="M347" s="162"/>
      <c r="N347" s="162"/>
      <c r="O347" s="162"/>
      <c r="P347" s="162"/>
      <c r="Q347" s="162"/>
      <c r="R347" s="162"/>
      <c r="S347" s="162"/>
      <c r="T347" s="162"/>
      <c r="U347" s="162"/>
      <c r="V347" s="162"/>
      <c r="W347" s="162"/>
      <c r="X347" s="163"/>
      <c r="Y347" s="140"/>
      <c r="Z347" s="156"/>
      <c r="AA347" s="157"/>
      <c r="AB347" s="158"/>
      <c r="AC347" s="158"/>
      <c r="AD347" s="159"/>
      <c r="AE347" s="160"/>
      <c r="AF347" s="160"/>
      <c r="AG347" s="162"/>
      <c r="AH347" s="162"/>
      <c r="AI347" s="162"/>
      <c r="AJ347" s="162"/>
      <c r="AK347" s="162"/>
      <c r="AL347" s="162"/>
      <c r="AM347" s="162"/>
      <c r="AN347" s="162"/>
      <c r="AO347" s="162"/>
      <c r="AP347" s="162"/>
      <c r="AQ347" s="162"/>
      <c r="AR347" s="162"/>
      <c r="AS347" s="162"/>
      <c r="AT347" s="162"/>
      <c r="AU347" s="162"/>
      <c r="AV347" s="163"/>
      <c r="AW347" s="140"/>
      <c r="AX347" s="156"/>
      <c r="AY347" s="157"/>
      <c r="AZ347" s="158"/>
      <c r="BA347" s="158"/>
      <c r="BB347" s="159"/>
      <c r="BC347" s="160"/>
      <c r="BD347" s="160"/>
      <c r="BE347" s="162"/>
      <c r="BF347" s="162"/>
      <c r="BG347" s="162"/>
      <c r="BH347" s="162"/>
      <c r="BI347" s="162"/>
      <c r="BJ347" s="162"/>
      <c r="BK347" s="162"/>
      <c r="BL347" s="162"/>
      <c r="BM347" s="162"/>
      <c r="BN347" s="162"/>
      <c r="BO347" s="162"/>
      <c r="BP347" s="162"/>
      <c r="BQ347" s="162"/>
      <c r="BR347" s="162"/>
      <c r="BS347" s="162"/>
      <c r="BT347" s="163"/>
      <c r="BU347" s="140"/>
      <c r="BV347" s="156"/>
      <c r="BW347" s="157"/>
      <c r="BX347" s="158"/>
      <c r="BY347" s="158"/>
      <c r="BZ347" s="159"/>
      <c r="CA347" s="160"/>
      <c r="CB347" s="160"/>
      <c r="CC347" s="162"/>
      <c r="CD347" s="162"/>
      <c r="CE347" s="162"/>
      <c r="CF347" s="162"/>
      <c r="CG347" s="162"/>
      <c r="CH347" s="162"/>
      <c r="CI347" s="162"/>
      <c r="CJ347" s="162"/>
      <c r="CK347" s="162"/>
      <c r="CL347" s="162"/>
      <c r="CM347" s="162"/>
      <c r="CN347" s="162"/>
      <c r="CO347" s="162"/>
      <c r="CP347" s="162"/>
      <c r="CQ347" s="162"/>
      <c r="CR347" s="163"/>
      <c r="CS347" s="140"/>
      <c r="CT347" s="156"/>
      <c r="CU347" s="157"/>
      <c r="CV347" s="158"/>
      <c r="CW347" s="158"/>
      <c r="CX347" s="159"/>
      <c r="CY347" s="160"/>
      <c r="CZ347" s="160"/>
      <c r="DA347" s="162"/>
      <c r="DB347" s="162"/>
      <c r="DC347" s="162"/>
      <c r="DD347" s="162"/>
      <c r="DE347" s="162"/>
      <c r="DF347" s="162"/>
      <c r="DG347" s="162"/>
      <c r="DH347" s="162"/>
      <c r="DI347" s="162"/>
      <c r="DJ347" s="162"/>
      <c r="DK347" s="162"/>
      <c r="DL347" s="162"/>
      <c r="DM347" s="162"/>
      <c r="DN347" s="162"/>
      <c r="DO347" s="162"/>
      <c r="DP347" s="163"/>
      <c r="DQ347" s="140"/>
      <c r="DR347" s="156"/>
      <c r="DS347" s="157"/>
      <c r="DT347" s="158"/>
      <c r="DU347" s="158"/>
      <c r="DV347" s="159"/>
      <c r="DW347" s="160"/>
      <c r="DX347" s="160"/>
      <c r="DY347" s="162"/>
      <c r="DZ347" s="162"/>
      <c r="EA347" s="162"/>
      <c r="EB347" s="162"/>
      <c r="EC347" s="162"/>
      <c r="ED347" s="162"/>
      <c r="EE347" s="162"/>
      <c r="EF347" s="162"/>
      <c r="EG347" s="162"/>
      <c r="EH347" s="162"/>
      <c r="EI347" s="162"/>
      <c r="EJ347" s="162"/>
      <c r="EK347" s="162"/>
      <c r="EL347" s="162"/>
      <c r="EM347" s="162"/>
      <c r="EN347" s="163"/>
      <c r="EO347" s="140"/>
      <c r="EP347" s="156"/>
      <c r="EQ347" s="157"/>
      <c r="ER347" s="158"/>
      <c r="ES347" s="158"/>
      <c r="ET347" s="159"/>
      <c r="EU347" s="160"/>
      <c r="EV347" s="160"/>
      <c r="EW347" s="162"/>
      <c r="EX347" s="162"/>
      <c r="EY347" s="162"/>
      <c r="EZ347" s="162"/>
      <c r="FA347" s="162"/>
      <c r="FB347" s="162"/>
      <c r="FC347" s="162"/>
      <c r="FD347" s="162"/>
      <c r="FE347" s="162"/>
      <c r="FF347" s="162"/>
      <c r="FG347" s="162"/>
      <c r="FH347" s="162"/>
      <c r="FI347" s="162"/>
      <c r="FJ347" s="162"/>
      <c r="FK347" s="162"/>
      <c r="FL347" s="163"/>
      <c r="FM347" s="140"/>
      <c r="FN347" s="156"/>
      <c r="FO347" s="157"/>
      <c r="FP347" s="158"/>
      <c r="FQ347" s="158"/>
      <c r="FR347" s="159"/>
      <c r="FS347" s="160"/>
      <c r="FT347" s="160"/>
      <c r="FU347" s="162"/>
      <c r="FV347" s="162"/>
      <c r="FW347" s="162"/>
      <c r="FX347" s="162"/>
      <c r="FY347" s="162"/>
      <c r="FZ347" s="162"/>
      <c r="GA347" s="162"/>
      <c r="GB347" s="162"/>
      <c r="GC347" s="162"/>
      <c r="GD347" s="162"/>
      <c r="GE347" s="162"/>
      <c r="GF347" s="162"/>
      <c r="GG347" s="162"/>
      <c r="GH347" s="162"/>
      <c r="GI347" s="162"/>
      <c r="GJ347" s="163"/>
      <c r="GK347" s="140"/>
      <c r="GL347" s="156"/>
      <c r="GM347" s="157"/>
      <c r="GN347" s="158"/>
      <c r="GO347" s="158"/>
      <c r="GP347" s="159"/>
      <c r="GQ347" s="160"/>
      <c r="GR347" s="160"/>
      <c r="GS347" s="162"/>
      <c r="GT347" s="162"/>
      <c r="GU347" s="162"/>
      <c r="GV347" s="162"/>
      <c r="GW347" s="162"/>
      <c r="GX347" s="162"/>
      <c r="GY347" s="162"/>
      <c r="GZ347" s="162"/>
      <c r="HA347" s="162"/>
      <c r="HB347" s="162"/>
      <c r="HC347" s="162"/>
      <c r="HD347" s="162"/>
      <c r="HE347" s="162"/>
      <c r="HF347" s="162"/>
      <c r="HG347" s="162"/>
      <c r="HH347" s="163"/>
      <c r="HI347" s="140"/>
      <c r="HJ347" s="156"/>
      <c r="HK347" s="157"/>
      <c r="HL347" s="158"/>
      <c r="HM347" s="158"/>
      <c r="HN347" s="159"/>
      <c r="HO347" s="160"/>
      <c r="HP347" s="160"/>
      <c r="HQ347" s="162"/>
      <c r="HR347" s="162"/>
      <c r="HS347" s="162"/>
      <c r="HT347" s="162"/>
      <c r="HU347" s="162"/>
      <c r="HV347" s="162"/>
      <c r="HW347" s="162"/>
      <c r="HX347" s="162"/>
      <c r="HY347" s="162"/>
      <c r="HZ347" s="162"/>
      <c r="IA347" s="162"/>
      <c r="IB347" s="162"/>
      <c r="IC347" s="162"/>
      <c r="ID347" s="162"/>
      <c r="IE347" s="162"/>
      <c r="IF347" s="163"/>
      <c r="IG347" s="140"/>
      <c r="IH347" s="156"/>
      <c r="II347" s="157"/>
      <c r="IJ347" s="158"/>
      <c r="IK347" s="158"/>
      <c r="IL347" s="159"/>
      <c r="IM347" s="160"/>
      <c r="IN347" s="160"/>
      <c r="IO347" s="162"/>
      <c r="IP347" s="162"/>
      <c r="IQ347" s="162"/>
      <c r="IR347" s="162"/>
      <c r="IS347" s="162"/>
      <c r="IT347" s="162"/>
      <c r="IU347" s="162"/>
      <c r="IV347" s="162"/>
    </row>
    <row r="348" spans="1:256" s="141" customFormat="1" x14ac:dyDescent="0.25">
      <c r="A348" s="138">
        <v>26.1</v>
      </c>
      <c r="B348" s="165" t="s">
        <v>410</v>
      </c>
      <c r="C348" s="110">
        <v>5235020</v>
      </c>
      <c r="D348" s="80" t="s">
        <v>212</v>
      </c>
      <c r="E348" s="80"/>
      <c r="F348" s="110">
        <v>796</v>
      </c>
      <c r="G348" s="81" t="s">
        <v>17</v>
      </c>
      <c r="H348" s="81">
        <v>1</v>
      </c>
      <c r="I348" s="151">
        <v>98401</v>
      </c>
      <c r="J348" s="83" t="s">
        <v>429</v>
      </c>
      <c r="K348" s="83">
        <v>100000</v>
      </c>
      <c r="L348" s="208"/>
      <c r="M348" s="208"/>
      <c r="N348" s="208"/>
      <c r="O348" s="208"/>
      <c r="Q348" s="191"/>
      <c r="R348" s="83">
        <v>1</v>
      </c>
      <c r="S348" s="83">
        <v>100000</v>
      </c>
      <c r="T348" s="83"/>
      <c r="U348" s="83"/>
      <c r="V348" s="83"/>
      <c r="W348" s="83"/>
      <c r="X348" s="167"/>
      <c r="Y348" s="168"/>
      <c r="Z348" s="168"/>
      <c r="AA348" s="168"/>
      <c r="AB348" s="168"/>
      <c r="AC348" s="168"/>
      <c r="AD348" s="168"/>
      <c r="AE348" s="168"/>
    </row>
    <row r="349" spans="1:256" s="141" customFormat="1" x14ac:dyDescent="0.25">
      <c r="A349" s="138">
        <v>26.2</v>
      </c>
      <c r="B349" s="165" t="s">
        <v>410</v>
      </c>
      <c r="C349" s="110">
        <v>5235020</v>
      </c>
      <c r="D349" s="80" t="s">
        <v>213</v>
      </c>
      <c r="E349" s="80"/>
      <c r="F349" s="110">
        <v>796</v>
      </c>
      <c r="G349" s="81" t="s">
        <v>17</v>
      </c>
      <c r="H349" s="81">
        <v>2</v>
      </c>
      <c r="I349" s="151">
        <v>98401</v>
      </c>
      <c r="J349" s="83" t="s">
        <v>429</v>
      </c>
      <c r="K349" s="83">
        <v>608000</v>
      </c>
      <c r="L349" s="83"/>
      <c r="M349" s="83"/>
      <c r="N349" s="83"/>
      <c r="O349" s="83"/>
      <c r="P349" s="83"/>
      <c r="Q349" s="83"/>
      <c r="R349" s="83"/>
      <c r="S349" s="83"/>
      <c r="T349" s="83"/>
      <c r="U349" s="83"/>
      <c r="V349" s="83">
        <v>2</v>
      </c>
      <c r="W349" s="83">
        <v>608000</v>
      </c>
      <c r="X349" s="167"/>
      <c r="Y349" s="168"/>
      <c r="Z349" s="168"/>
      <c r="AA349" s="168"/>
      <c r="AB349" s="168"/>
      <c r="AC349" s="168"/>
      <c r="AD349" s="168"/>
      <c r="AE349" s="168"/>
    </row>
    <row r="350" spans="1:256" s="141" customFormat="1" x14ac:dyDescent="0.25">
      <c r="A350" s="138">
        <v>26.3</v>
      </c>
      <c r="B350" s="165" t="s">
        <v>410</v>
      </c>
      <c r="C350" s="110">
        <v>5235020</v>
      </c>
      <c r="D350" s="80" t="s">
        <v>214</v>
      </c>
      <c r="E350" s="80"/>
      <c r="F350" s="110">
        <v>796</v>
      </c>
      <c r="G350" s="81" t="s">
        <v>17</v>
      </c>
      <c r="H350" s="209">
        <v>100</v>
      </c>
      <c r="I350" s="151">
        <v>98401</v>
      </c>
      <c r="J350" s="83" t="s">
        <v>429</v>
      </c>
      <c r="K350" s="83">
        <v>170000</v>
      </c>
      <c r="L350" s="83"/>
      <c r="M350" s="83"/>
      <c r="N350" s="83"/>
      <c r="O350" s="83"/>
      <c r="P350" s="83"/>
      <c r="Q350" s="83"/>
      <c r="R350" s="83"/>
      <c r="S350" s="83"/>
      <c r="T350" s="83">
        <v>12</v>
      </c>
      <c r="U350" s="83">
        <v>95160</v>
      </c>
      <c r="V350" s="210"/>
      <c r="W350" s="210"/>
      <c r="X350" s="167"/>
      <c r="Y350" s="168"/>
      <c r="Z350" s="168"/>
      <c r="AA350" s="168"/>
      <c r="AB350" s="168"/>
      <c r="AC350" s="168"/>
      <c r="AD350" s="168"/>
      <c r="AE350" s="168"/>
    </row>
    <row r="351" spans="1:256" s="141" customFormat="1" x14ac:dyDescent="0.25">
      <c r="A351" s="138">
        <v>26.4</v>
      </c>
      <c r="B351" s="165" t="s">
        <v>410</v>
      </c>
      <c r="C351" s="110">
        <v>5235020</v>
      </c>
      <c r="D351" s="80" t="s">
        <v>215</v>
      </c>
      <c r="E351" s="80"/>
      <c r="F351" s="110">
        <v>796</v>
      </c>
      <c r="G351" s="81" t="s">
        <v>17</v>
      </c>
      <c r="H351" s="81">
        <v>150</v>
      </c>
      <c r="I351" s="151">
        <v>98401</v>
      </c>
      <c r="J351" s="83" t="s">
        <v>429</v>
      </c>
      <c r="K351" s="83">
        <v>83060</v>
      </c>
      <c r="L351" s="83"/>
      <c r="M351" s="83"/>
      <c r="N351" s="83"/>
      <c r="O351" s="83"/>
      <c r="P351" s="83"/>
      <c r="Q351" s="83"/>
      <c r="R351" s="83"/>
      <c r="S351" s="83"/>
      <c r="T351" s="83">
        <v>150</v>
      </c>
      <c r="U351" s="83">
        <v>83060</v>
      </c>
      <c r="V351" s="83"/>
      <c r="W351" s="83"/>
      <c r="X351" s="167"/>
      <c r="Y351" s="168"/>
      <c r="Z351" s="168"/>
      <c r="AA351" s="168"/>
      <c r="AB351" s="168"/>
      <c r="AC351" s="168"/>
      <c r="AD351" s="168"/>
      <c r="AE351" s="168"/>
    </row>
    <row r="352" spans="1:256" s="227" customFormat="1" x14ac:dyDescent="0.25">
      <c r="A352" s="218">
        <v>26.5</v>
      </c>
      <c r="B352" s="219" t="s">
        <v>410</v>
      </c>
      <c r="C352" s="220">
        <v>5235020</v>
      </c>
      <c r="D352" s="221" t="s">
        <v>216</v>
      </c>
      <c r="E352" s="221"/>
      <c r="F352" s="220">
        <v>796</v>
      </c>
      <c r="G352" s="222" t="s">
        <v>17</v>
      </c>
      <c r="H352" s="222">
        <v>1</v>
      </c>
      <c r="I352" s="223">
        <v>98401</v>
      </c>
      <c r="J352" s="224" t="s">
        <v>429</v>
      </c>
      <c r="K352" s="224">
        <v>50000</v>
      </c>
      <c r="L352" s="224"/>
      <c r="M352" s="224"/>
      <c r="N352" s="224"/>
      <c r="O352" s="224"/>
      <c r="P352" s="224"/>
      <c r="Q352" s="224"/>
      <c r="R352" s="224"/>
      <c r="S352" s="224"/>
      <c r="T352" s="224">
        <v>1</v>
      </c>
      <c r="U352" s="224">
        <v>50000</v>
      </c>
      <c r="V352" s="224"/>
      <c r="W352" s="224"/>
      <c r="X352" s="225"/>
      <c r="Y352" s="226"/>
      <c r="Z352" s="226"/>
      <c r="AA352" s="226"/>
      <c r="AB352" s="226"/>
      <c r="AC352" s="226"/>
      <c r="AD352" s="226"/>
      <c r="AE352" s="226"/>
    </row>
    <row r="353" spans="1:31" s="141" customFormat="1" x14ac:dyDescent="0.25">
      <c r="A353" s="138">
        <v>26.6</v>
      </c>
      <c r="B353" s="165" t="s">
        <v>410</v>
      </c>
      <c r="C353" s="110">
        <v>5235020</v>
      </c>
      <c r="D353" s="80" t="s">
        <v>217</v>
      </c>
      <c r="E353" s="80"/>
      <c r="F353" s="110">
        <v>796</v>
      </c>
      <c r="G353" s="81" t="s">
        <v>17</v>
      </c>
      <c r="H353" s="81">
        <v>5</v>
      </c>
      <c r="I353" s="151">
        <v>98401</v>
      </c>
      <c r="J353" s="83" t="s">
        <v>429</v>
      </c>
      <c r="K353" s="83">
        <v>225000</v>
      </c>
      <c r="L353" s="83"/>
      <c r="M353" s="83"/>
      <c r="N353" s="83"/>
      <c r="O353" s="83"/>
      <c r="P353" s="83"/>
      <c r="Q353" s="83"/>
      <c r="R353" s="83"/>
      <c r="S353" s="83"/>
      <c r="T353" s="83">
        <v>5</v>
      </c>
      <c r="U353" s="83">
        <v>225000</v>
      </c>
      <c r="V353" s="83"/>
      <c r="W353" s="83"/>
      <c r="X353" s="167"/>
      <c r="Y353" s="168"/>
      <c r="Z353" s="168"/>
      <c r="AA353" s="168"/>
      <c r="AB353" s="168"/>
      <c r="AC353" s="168"/>
      <c r="AD353" s="168"/>
      <c r="AE353" s="168"/>
    </row>
    <row r="354" spans="1:31" s="141" customFormat="1" x14ac:dyDescent="0.25">
      <c r="A354" s="138">
        <v>26.7</v>
      </c>
      <c r="B354" s="165" t="s">
        <v>410</v>
      </c>
      <c r="C354" s="110">
        <v>5235020</v>
      </c>
      <c r="D354" s="80" t="s">
        <v>218</v>
      </c>
      <c r="E354" s="80"/>
      <c r="F354" s="110">
        <v>796</v>
      </c>
      <c r="G354" s="81" t="s">
        <v>17</v>
      </c>
      <c r="H354" s="81">
        <v>1</v>
      </c>
      <c r="I354" s="151">
        <v>98401</v>
      </c>
      <c r="J354" s="83" t="s">
        <v>429</v>
      </c>
      <c r="K354" s="83">
        <v>40000</v>
      </c>
      <c r="L354" s="83"/>
      <c r="M354" s="83"/>
      <c r="N354" s="83"/>
      <c r="O354" s="83"/>
      <c r="P354" s="83">
        <v>1</v>
      </c>
      <c r="Q354" s="83">
        <v>40000</v>
      </c>
      <c r="R354" s="83"/>
      <c r="S354" s="83"/>
      <c r="T354" s="83"/>
      <c r="U354" s="83"/>
      <c r="V354" s="83"/>
      <c r="W354" s="83"/>
      <c r="X354" s="167"/>
      <c r="Y354" s="168"/>
      <c r="Z354" s="168"/>
      <c r="AA354" s="168"/>
      <c r="AB354" s="168"/>
      <c r="AC354" s="168"/>
      <c r="AD354" s="168"/>
      <c r="AE354" s="168"/>
    </row>
    <row r="355" spans="1:31" s="141" customFormat="1" x14ac:dyDescent="0.25">
      <c r="A355" s="138">
        <v>26.8</v>
      </c>
      <c r="B355" s="165" t="s">
        <v>410</v>
      </c>
      <c r="C355" s="110">
        <v>5235020</v>
      </c>
      <c r="D355" s="80" t="s">
        <v>219</v>
      </c>
      <c r="E355" s="80"/>
      <c r="F355" s="110">
        <v>796</v>
      </c>
      <c r="G355" s="81" t="s">
        <v>17</v>
      </c>
      <c r="H355" s="81"/>
      <c r="I355" s="151">
        <v>98401</v>
      </c>
      <c r="J355" s="83" t="s">
        <v>429</v>
      </c>
      <c r="K355" s="83">
        <v>70500</v>
      </c>
      <c r="L355" s="83"/>
      <c r="M355" s="83"/>
      <c r="N355" s="83"/>
      <c r="O355" s="83"/>
      <c r="P355" s="83"/>
      <c r="Q355" s="83"/>
      <c r="R355" s="83"/>
      <c r="S355" s="83"/>
      <c r="T355" s="83"/>
      <c r="U355" s="83">
        <v>70500</v>
      </c>
      <c r="V355" s="83"/>
      <c r="W355" s="83">
        <v>433500</v>
      </c>
      <c r="X355" s="167"/>
      <c r="Y355" s="168"/>
      <c r="Z355" s="168"/>
      <c r="AA355" s="168"/>
      <c r="AB355" s="168"/>
      <c r="AC355" s="168"/>
      <c r="AD355" s="168"/>
      <c r="AE355" s="168"/>
    </row>
    <row r="356" spans="1:31" s="141" customFormat="1" x14ac:dyDescent="0.25">
      <c r="A356" s="138">
        <v>26.9</v>
      </c>
      <c r="B356" s="165" t="s">
        <v>410</v>
      </c>
      <c r="C356" s="110">
        <v>5235020</v>
      </c>
      <c r="D356" s="80" t="s">
        <v>220</v>
      </c>
      <c r="E356" s="80"/>
      <c r="F356" s="110">
        <v>796</v>
      </c>
      <c r="G356" s="81" t="s">
        <v>17</v>
      </c>
      <c r="H356" s="81">
        <v>1</v>
      </c>
      <c r="I356" s="151">
        <v>98401</v>
      </c>
      <c r="J356" s="83" t="s">
        <v>429</v>
      </c>
      <c r="K356" s="83">
        <v>23000</v>
      </c>
      <c r="L356" s="83"/>
      <c r="M356" s="83"/>
      <c r="N356" s="83"/>
      <c r="O356" s="83"/>
      <c r="P356" s="83">
        <v>1</v>
      </c>
      <c r="Q356" s="83">
        <v>23000</v>
      </c>
      <c r="R356" s="83"/>
      <c r="S356" s="83"/>
      <c r="T356" s="83"/>
      <c r="U356" s="83"/>
      <c r="V356" s="83"/>
      <c r="W356" s="83"/>
      <c r="X356" s="167"/>
      <c r="Y356" s="168"/>
      <c r="Z356" s="168"/>
      <c r="AA356" s="168"/>
      <c r="AB356" s="168"/>
      <c r="AC356" s="168"/>
      <c r="AD356" s="168"/>
      <c r="AE356" s="168"/>
    </row>
    <row r="357" spans="1:31" s="141" customFormat="1" x14ac:dyDescent="0.25">
      <c r="A357" s="138">
        <v>26.1</v>
      </c>
      <c r="B357" s="165" t="s">
        <v>410</v>
      </c>
      <c r="C357" s="110">
        <v>5235020</v>
      </c>
      <c r="D357" s="80" t="s">
        <v>221</v>
      </c>
      <c r="E357" s="80"/>
      <c r="F357" s="110">
        <v>796</v>
      </c>
      <c r="G357" s="81" t="s">
        <v>17</v>
      </c>
      <c r="H357" s="81">
        <v>35</v>
      </c>
      <c r="I357" s="151">
        <v>98401</v>
      </c>
      <c r="J357" s="83" t="s">
        <v>429</v>
      </c>
      <c r="K357" s="83">
        <v>203000</v>
      </c>
      <c r="L357" s="83"/>
      <c r="M357" s="83"/>
      <c r="N357" s="83"/>
      <c r="O357" s="83"/>
      <c r="P357" s="83">
        <v>8</v>
      </c>
      <c r="Q357" s="83">
        <v>46400</v>
      </c>
      <c r="R357" s="83">
        <v>9</v>
      </c>
      <c r="S357" s="83">
        <v>52200</v>
      </c>
      <c r="T357" s="83">
        <v>9</v>
      </c>
      <c r="U357" s="83">
        <v>52200</v>
      </c>
      <c r="V357" s="83">
        <v>9</v>
      </c>
      <c r="W357" s="83">
        <v>52200</v>
      </c>
      <c r="X357" s="167"/>
      <c r="Y357" s="168"/>
      <c r="Z357" s="168"/>
      <c r="AA357" s="168"/>
      <c r="AB357" s="168"/>
      <c r="AC357" s="168"/>
      <c r="AD357" s="168"/>
      <c r="AE357" s="168"/>
    </row>
    <row r="358" spans="1:31" s="141" customFormat="1" x14ac:dyDescent="0.25">
      <c r="A358" s="138">
        <v>26.11</v>
      </c>
      <c r="B358" s="165" t="s">
        <v>410</v>
      </c>
      <c r="C358" s="110">
        <v>5235020</v>
      </c>
      <c r="D358" s="80" t="s">
        <v>222</v>
      </c>
      <c r="E358" s="80"/>
      <c r="F358" s="110">
        <v>796</v>
      </c>
      <c r="G358" s="81" t="s">
        <v>17</v>
      </c>
      <c r="H358" s="81">
        <v>1</v>
      </c>
      <c r="I358" s="151">
        <v>98401</v>
      </c>
      <c r="J358" s="83" t="s">
        <v>429</v>
      </c>
      <c r="K358" s="83">
        <v>43000</v>
      </c>
      <c r="L358" s="83"/>
      <c r="M358" s="83"/>
      <c r="N358" s="83"/>
      <c r="O358" s="83"/>
      <c r="P358" s="83">
        <v>1</v>
      </c>
      <c r="Q358" s="83">
        <v>43000</v>
      </c>
      <c r="R358" s="83"/>
      <c r="S358" s="83"/>
      <c r="T358" s="83"/>
      <c r="U358" s="83"/>
      <c r="V358" s="83"/>
      <c r="W358" s="83"/>
      <c r="X358" s="167"/>
      <c r="Y358" s="168"/>
      <c r="Z358" s="168"/>
      <c r="AA358" s="168"/>
      <c r="AB358" s="168"/>
      <c r="AC358" s="168"/>
      <c r="AD358" s="168"/>
      <c r="AE358" s="168"/>
    </row>
    <row r="359" spans="1:31" s="141" customFormat="1" x14ac:dyDescent="0.25">
      <c r="A359" s="138">
        <v>26.12</v>
      </c>
      <c r="B359" s="165" t="s">
        <v>410</v>
      </c>
      <c r="C359" s="110">
        <v>5235020</v>
      </c>
      <c r="D359" s="80" t="s">
        <v>223</v>
      </c>
      <c r="E359" s="80"/>
      <c r="F359" s="110">
        <v>796</v>
      </c>
      <c r="G359" s="81" t="s">
        <v>17</v>
      </c>
      <c r="H359" s="81">
        <v>1</v>
      </c>
      <c r="I359" s="151">
        <v>98401</v>
      </c>
      <c r="J359" s="83" t="s">
        <v>429</v>
      </c>
      <c r="K359" s="83">
        <v>50000</v>
      </c>
      <c r="L359" s="83"/>
      <c r="M359" s="83"/>
      <c r="N359" s="83"/>
      <c r="O359" s="83"/>
      <c r="P359" s="191"/>
      <c r="R359" s="83"/>
      <c r="S359" s="83"/>
      <c r="T359" s="83">
        <v>1</v>
      </c>
      <c r="U359" s="83">
        <v>50000</v>
      </c>
      <c r="V359" s="83"/>
      <c r="W359" s="83"/>
      <c r="X359" s="167"/>
      <c r="Y359" s="168"/>
      <c r="Z359" s="168"/>
      <c r="AA359" s="168"/>
      <c r="AB359" s="168"/>
      <c r="AC359" s="168"/>
      <c r="AD359" s="168"/>
      <c r="AE359" s="168"/>
    </row>
    <row r="360" spans="1:31" s="141" customFormat="1" x14ac:dyDescent="0.25">
      <c r="A360" s="138">
        <v>26.13</v>
      </c>
      <c r="B360" s="165" t="s">
        <v>410</v>
      </c>
      <c r="C360" s="110">
        <v>5235020</v>
      </c>
      <c r="D360" s="80" t="s">
        <v>224</v>
      </c>
      <c r="E360" s="80"/>
      <c r="F360" s="110">
        <v>796</v>
      </c>
      <c r="G360" s="81" t="s">
        <v>17</v>
      </c>
      <c r="H360" s="81">
        <v>30</v>
      </c>
      <c r="I360" s="151">
        <v>98401</v>
      </c>
      <c r="J360" s="83" t="s">
        <v>429</v>
      </c>
      <c r="K360" s="83">
        <v>300000</v>
      </c>
      <c r="L360" s="83"/>
      <c r="M360" s="83"/>
      <c r="N360" s="83"/>
      <c r="O360" s="83"/>
      <c r="P360" s="83"/>
      <c r="Q360" s="83"/>
      <c r="R360" s="83"/>
      <c r="S360" s="83"/>
      <c r="T360" s="83"/>
      <c r="U360" s="83"/>
      <c r="V360" s="83">
        <v>30</v>
      </c>
      <c r="W360" s="83">
        <v>300000</v>
      </c>
      <c r="X360" s="167"/>
      <c r="Y360" s="168"/>
      <c r="Z360" s="168"/>
      <c r="AA360" s="168"/>
      <c r="AB360" s="168"/>
      <c r="AC360" s="168"/>
      <c r="AD360" s="168"/>
      <c r="AE360" s="168"/>
    </row>
    <row r="361" spans="1:31" s="141" customFormat="1" x14ac:dyDescent="0.25">
      <c r="A361" s="138">
        <v>26.14</v>
      </c>
      <c r="B361" s="165" t="s">
        <v>410</v>
      </c>
      <c r="C361" s="110">
        <v>5235020</v>
      </c>
      <c r="D361" s="80" t="s">
        <v>225</v>
      </c>
      <c r="E361" s="80"/>
      <c r="F361" s="110">
        <v>796</v>
      </c>
      <c r="G361" s="81" t="s">
        <v>17</v>
      </c>
      <c r="H361" s="81">
        <v>1</v>
      </c>
      <c r="I361" s="151">
        <v>98401</v>
      </c>
      <c r="J361" s="83" t="s">
        <v>429</v>
      </c>
      <c r="K361" s="83">
        <v>122000</v>
      </c>
      <c r="L361" s="83"/>
      <c r="M361" s="83"/>
      <c r="N361" s="83"/>
      <c r="O361" s="83"/>
      <c r="P361" s="191"/>
      <c r="Q361" s="191"/>
      <c r="R361" s="83"/>
      <c r="S361" s="83"/>
      <c r="T361" s="83">
        <v>1</v>
      </c>
      <c r="U361" s="83">
        <v>122000</v>
      </c>
      <c r="V361" s="83"/>
      <c r="W361" s="83"/>
      <c r="X361" s="167"/>
      <c r="Y361" s="168"/>
      <c r="Z361" s="168"/>
      <c r="AA361" s="168"/>
      <c r="AB361" s="168"/>
      <c r="AC361" s="168"/>
      <c r="AD361" s="168"/>
      <c r="AE361" s="168"/>
    </row>
    <row r="362" spans="1:31" s="141" customFormat="1" x14ac:dyDescent="0.25">
      <c r="A362" s="138">
        <v>26.15</v>
      </c>
      <c r="B362" s="165" t="s">
        <v>410</v>
      </c>
      <c r="C362" s="110">
        <v>5235020</v>
      </c>
      <c r="D362" s="80" t="s">
        <v>226</v>
      </c>
      <c r="E362" s="80"/>
      <c r="F362" s="110">
        <v>796</v>
      </c>
      <c r="G362" s="81" t="s">
        <v>17</v>
      </c>
      <c r="H362" s="81">
        <v>1</v>
      </c>
      <c r="I362" s="151">
        <v>98401</v>
      </c>
      <c r="J362" s="83" t="s">
        <v>429</v>
      </c>
      <c r="K362" s="83">
        <v>120000</v>
      </c>
      <c r="L362" s="83"/>
      <c r="M362" s="83"/>
      <c r="N362" s="83"/>
      <c r="O362" s="83"/>
      <c r="P362" s="191"/>
      <c r="R362" s="83"/>
      <c r="S362" s="83"/>
      <c r="T362" s="83">
        <v>1</v>
      </c>
      <c r="U362" s="83">
        <v>120000</v>
      </c>
      <c r="V362" s="83"/>
      <c r="W362" s="83"/>
      <c r="X362" s="167"/>
      <c r="Y362" s="168"/>
      <c r="Z362" s="168"/>
      <c r="AA362" s="168"/>
      <c r="AB362" s="168"/>
      <c r="AC362" s="168"/>
      <c r="AD362" s="168"/>
      <c r="AE362" s="168"/>
    </row>
    <row r="363" spans="1:31" s="141" customFormat="1" ht="30" x14ac:dyDescent="0.25">
      <c r="A363" s="138">
        <v>26.16</v>
      </c>
      <c r="B363" s="165" t="s">
        <v>410</v>
      </c>
      <c r="C363" s="110">
        <v>5235020</v>
      </c>
      <c r="D363" s="80" t="s">
        <v>227</v>
      </c>
      <c r="E363" s="80"/>
      <c r="F363" s="110">
        <v>796</v>
      </c>
      <c r="G363" s="81" t="s">
        <v>17</v>
      </c>
      <c r="H363" s="81">
        <v>1</v>
      </c>
      <c r="I363" s="151">
        <v>98401</v>
      </c>
      <c r="J363" s="83" t="s">
        <v>429</v>
      </c>
      <c r="K363" s="83">
        <v>7500</v>
      </c>
      <c r="L363" s="83"/>
      <c r="M363" s="83"/>
      <c r="N363" s="83"/>
      <c r="O363" s="83"/>
      <c r="P363" s="83">
        <v>1</v>
      </c>
      <c r="Q363" s="83">
        <v>7500</v>
      </c>
      <c r="S363" s="83"/>
      <c r="T363" s="83"/>
      <c r="U363" s="83"/>
      <c r="V363" s="83"/>
      <c r="W363" s="83"/>
      <c r="X363" s="167"/>
      <c r="Y363" s="168"/>
      <c r="Z363" s="168"/>
      <c r="AA363" s="168"/>
      <c r="AB363" s="168"/>
      <c r="AC363" s="168"/>
      <c r="AD363" s="168"/>
      <c r="AE363" s="168"/>
    </row>
    <row r="364" spans="1:31" s="141" customFormat="1" x14ac:dyDescent="0.25">
      <c r="A364" s="138">
        <v>26.17</v>
      </c>
      <c r="B364" s="165" t="s">
        <v>410</v>
      </c>
      <c r="C364" s="110">
        <v>5235020</v>
      </c>
      <c r="D364" s="80" t="s">
        <v>228</v>
      </c>
      <c r="E364" s="80"/>
      <c r="F364" s="110">
        <v>796</v>
      </c>
      <c r="G364" s="81" t="s">
        <v>17</v>
      </c>
      <c r="H364" s="81">
        <v>5</v>
      </c>
      <c r="I364" s="151">
        <v>98401</v>
      </c>
      <c r="J364" s="83" t="s">
        <v>429</v>
      </c>
      <c r="K364" s="83">
        <v>25000</v>
      </c>
      <c r="L364" s="83"/>
      <c r="M364" s="83"/>
      <c r="N364" s="83"/>
      <c r="O364" s="83"/>
      <c r="P364" s="83"/>
      <c r="Q364" s="83"/>
      <c r="R364" s="83">
        <v>5</v>
      </c>
      <c r="S364" s="83">
        <v>25000</v>
      </c>
      <c r="T364" s="83"/>
      <c r="U364" s="83"/>
      <c r="V364" s="83"/>
      <c r="W364" s="83"/>
      <c r="X364" s="167"/>
      <c r="Y364" s="168"/>
      <c r="Z364" s="168"/>
      <c r="AA364" s="168"/>
      <c r="AB364" s="168"/>
      <c r="AC364" s="168"/>
      <c r="AD364" s="168"/>
      <c r="AE364" s="168"/>
    </row>
    <row r="365" spans="1:31" s="141" customFormat="1" x14ac:dyDescent="0.25">
      <c r="A365" s="138">
        <v>26.18</v>
      </c>
      <c r="B365" s="165" t="s">
        <v>410</v>
      </c>
      <c r="C365" s="110">
        <v>5235020</v>
      </c>
      <c r="D365" s="80" t="s">
        <v>229</v>
      </c>
      <c r="E365" s="80"/>
      <c r="F365" s="110">
        <v>796</v>
      </c>
      <c r="G365" s="81" t="s">
        <v>17</v>
      </c>
      <c r="H365" s="81">
        <v>1</v>
      </c>
      <c r="I365" s="151">
        <v>98401</v>
      </c>
      <c r="J365" s="83" t="s">
        <v>429</v>
      </c>
      <c r="K365" s="83">
        <v>350000</v>
      </c>
      <c r="L365" s="83"/>
      <c r="M365" s="83"/>
      <c r="N365" s="83"/>
      <c r="O365" s="83"/>
      <c r="P365" s="83"/>
      <c r="Q365" s="83"/>
      <c r="R365" s="83"/>
      <c r="S365" s="83"/>
      <c r="T365" s="83">
        <v>1</v>
      </c>
      <c r="U365" s="83">
        <v>350000</v>
      </c>
      <c r="V365" s="83"/>
      <c r="W365" s="83"/>
      <c r="X365" s="167"/>
      <c r="Y365" s="168"/>
      <c r="Z365" s="168"/>
      <c r="AA365" s="168"/>
      <c r="AB365" s="168"/>
      <c r="AC365" s="168"/>
      <c r="AD365" s="168"/>
      <c r="AE365" s="168"/>
    </row>
    <row r="366" spans="1:31" s="141" customFormat="1" x14ac:dyDescent="0.25">
      <c r="A366" s="138">
        <v>26.19</v>
      </c>
      <c r="B366" s="165" t="s">
        <v>410</v>
      </c>
      <c r="C366" s="110">
        <v>5235020</v>
      </c>
      <c r="D366" s="80" t="s">
        <v>230</v>
      </c>
      <c r="E366" s="80"/>
      <c r="F366" s="110">
        <v>796</v>
      </c>
      <c r="G366" s="81" t="s">
        <v>17</v>
      </c>
      <c r="H366" s="81">
        <v>73</v>
      </c>
      <c r="I366" s="151">
        <v>98401</v>
      </c>
      <c r="J366" s="83" t="s">
        <v>429</v>
      </c>
      <c r="K366" s="83">
        <v>729000</v>
      </c>
      <c r="L366" s="83"/>
      <c r="M366" s="83"/>
      <c r="N366" s="83"/>
      <c r="O366" s="83"/>
      <c r="P366" s="83"/>
      <c r="Q366" s="83"/>
      <c r="R366" s="83"/>
      <c r="S366" s="83"/>
      <c r="T366" s="83">
        <v>73</v>
      </c>
      <c r="U366" s="83">
        <v>729000</v>
      </c>
      <c r="V366" s="83"/>
      <c r="W366" s="83"/>
      <c r="X366" s="167"/>
      <c r="Y366" s="168"/>
      <c r="Z366" s="168"/>
      <c r="AA366" s="168"/>
      <c r="AB366" s="168"/>
      <c r="AC366" s="168"/>
      <c r="AD366" s="168"/>
      <c r="AE366" s="168"/>
    </row>
    <row r="367" spans="1:31" s="141" customFormat="1" x14ac:dyDescent="0.25">
      <c r="A367" s="138">
        <v>26.2</v>
      </c>
      <c r="B367" s="165" t="s">
        <v>410</v>
      </c>
      <c r="C367" s="110">
        <v>5235020</v>
      </c>
      <c r="D367" s="80" t="s">
        <v>231</v>
      </c>
      <c r="E367" s="80"/>
      <c r="F367" s="110">
        <v>796</v>
      </c>
      <c r="G367" s="81" t="s">
        <v>17</v>
      </c>
      <c r="H367" s="81">
        <v>3</v>
      </c>
      <c r="I367" s="151">
        <v>98401</v>
      </c>
      <c r="J367" s="83" t="s">
        <v>429</v>
      </c>
      <c r="K367" s="83">
        <v>165000</v>
      </c>
      <c r="L367" s="83"/>
      <c r="M367" s="83"/>
      <c r="N367" s="83"/>
      <c r="O367" s="83"/>
      <c r="P367" s="83"/>
      <c r="Q367" s="83"/>
      <c r="R367" s="83"/>
      <c r="S367" s="83"/>
      <c r="T367" s="83">
        <v>3</v>
      </c>
      <c r="U367" s="83">
        <v>165000</v>
      </c>
      <c r="V367" s="83"/>
      <c r="W367" s="83"/>
      <c r="X367" s="167"/>
      <c r="Y367" s="168"/>
      <c r="Z367" s="168"/>
      <c r="AA367" s="168"/>
      <c r="AB367" s="168"/>
      <c r="AC367" s="168"/>
      <c r="AD367" s="168"/>
      <c r="AE367" s="168"/>
    </row>
    <row r="368" spans="1:31" s="141" customFormat="1" x14ac:dyDescent="0.25">
      <c r="A368" s="138">
        <v>26.21</v>
      </c>
      <c r="B368" s="165" t="s">
        <v>410</v>
      </c>
      <c r="C368" s="110">
        <v>5235020</v>
      </c>
      <c r="D368" s="80" t="s">
        <v>232</v>
      </c>
      <c r="E368" s="80"/>
      <c r="F368" s="110">
        <v>796</v>
      </c>
      <c r="G368" s="81" t="s">
        <v>17</v>
      </c>
      <c r="H368" s="81">
        <v>1</v>
      </c>
      <c r="I368" s="151">
        <v>98401</v>
      </c>
      <c r="J368" s="83" t="s">
        <v>429</v>
      </c>
      <c r="K368" s="83">
        <v>1600000</v>
      </c>
      <c r="L368" s="83"/>
      <c r="M368" s="83"/>
      <c r="N368" s="83"/>
      <c r="O368" s="83"/>
      <c r="P368" s="83"/>
      <c r="Q368" s="83"/>
      <c r="R368" s="83"/>
      <c r="S368" s="83"/>
      <c r="T368" s="83"/>
      <c r="U368" s="83"/>
      <c r="V368" s="83">
        <v>1</v>
      </c>
      <c r="W368" s="83">
        <v>1600000</v>
      </c>
      <c r="X368" s="167"/>
      <c r="Y368" s="168"/>
      <c r="Z368" s="168"/>
      <c r="AA368" s="168"/>
      <c r="AB368" s="168"/>
      <c r="AC368" s="168"/>
      <c r="AD368" s="168"/>
      <c r="AE368" s="168"/>
    </row>
    <row r="369" spans="1:256" s="141" customFormat="1" x14ac:dyDescent="0.25">
      <c r="A369" s="138">
        <v>26.22</v>
      </c>
      <c r="B369" s="165" t="s">
        <v>410</v>
      </c>
      <c r="C369" s="110">
        <v>5235020</v>
      </c>
      <c r="D369" s="80" t="s">
        <v>352</v>
      </c>
      <c r="E369" s="80"/>
      <c r="F369" s="114"/>
      <c r="G369" s="81"/>
      <c r="H369" s="81"/>
      <c r="I369" s="151">
        <v>98401</v>
      </c>
      <c r="J369" s="83" t="s">
        <v>429</v>
      </c>
      <c r="K369" s="83"/>
      <c r="L369" s="83"/>
      <c r="M369" s="83"/>
      <c r="N369" s="83"/>
      <c r="O369" s="83"/>
      <c r="P369" s="83"/>
      <c r="Q369" s="83"/>
      <c r="R369" s="83"/>
      <c r="S369" s="83"/>
      <c r="T369" s="83">
        <v>150</v>
      </c>
      <c r="U369" s="83">
        <v>90000</v>
      </c>
      <c r="V369" s="83"/>
      <c r="W369" s="83"/>
      <c r="X369" s="167"/>
      <c r="Y369" s="168"/>
      <c r="Z369" s="168"/>
      <c r="AA369" s="168"/>
      <c r="AB369" s="168"/>
      <c r="AC369" s="168"/>
      <c r="AD369" s="168"/>
      <c r="AE369" s="168"/>
    </row>
    <row r="370" spans="1:256" s="141" customFormat="1" x14ac:dyDescent="0.25">
      <c r="A370" s="138">
        <v>26.23</v>
      </c>
      <c r="B370" s="165" t="s">
        <v>410</v>
      </c>
      <c r="C370" s="110">
        <v>5235020</v>
      </c>
      <c r="D370" s="80" t="s">
        <v>355</v>
      </c>
      <c r="E370" s="80"/>
      <c r="F370" s="114"/>
      <c r="G370" s="81"/>
      <c r="H370" s="81">
        <v>1</v>
      </c>
      <c r="I370" s="151">
        <v>98401</v>
      </c>
      <c r="J370" s="83" t="s">
        <v>429</v>
      </c>
      <c r="K370" s="83">
        <v>100000</v>
      </c>
      <c r="L370" s="83"/>
      <c r="M370" s="83"/>
      <c r="N370" s="83"/>
      <c r="O370" s="83"/>
      <c r="P370" s="83">
        <v>1</v>
      </c>
      <c r="Q370" s="83">
        <v>100000</v>
      </c>
      <c r="R370" s="83"/>
      <c r="S370" s="83"/>
      <c r="T370" s="83"/>
      <c r="U370" s="83"/>
      <c r="V370" s="83"/>
      <c r="W370" s="83"/>
      <c r="X370" s="167"/>
      <c r="Y370" s="168"/>
      <c r="Z370" s="168"/>
      <c r="AA370" s="168"/>
      <c r="AB370" s="168"/>
      <c r="AC370" s="168"/>
      <c r="AD370" s="168"/>
      <c r="AE370" s="168"/>
    </row>
    <row r="371" spans="1:256" s="141" customFormat="1" x14ac:dyDescent="0.25">
      <c r="A371" s="138"/>
      <c r="B371" s="165"/>
      <c r="C371" s="110"/>
      <c r="D371" s="202"/>
      <c r="E371" s="202"/>
      <c r="F371" s="203"/>
      <c r="G371" s="81"/>
      <c r="H371" s="81"/>
      <c r="I371" s="169"/>
      <c r="J371" s="83"/>
      <c r="K371" s="170">
        <v>5084060</v>
      </c>
      <c r="L371" s="170"/>
      <c r="M371" s="170"/>
      <c r="N371" s="170"/>
      <c r="O371" s="170"/>
      <c r="P371" s="83"/>
      <c r="Q371" s="170">
        <v>159900</v>
      </c>
      <c r="R371" s="83"/>
      <c r="S371" s="170">
        <v>177200</v>
      </c>
      <c r="T371" s="83"/>
      <c r="U371" s="170">
        <v>2111920</v>
      </c>
      <c r="V371" s="83"/>
      <c r="W371" s="170">
        <v>2993700</v>
      </c>
      <c r="X371" s="167"/>
      <c r="Y371" s="168"/>
      <c r="Z371" s="168"/>
      <c r="AA371" s="168"/>
      <c r="AB371" s="168"/>
      <c r="AC371" s="168"/>
      <c r="AD371" s="168"/>
      <c r="AE371" s="168"/>
    </row>
    <row r="372" spans="1:256" s="164" customFormat="1" ht="14.25" x14ac:dyDescent="0.2">
      <c r="A372" s="140">
        <v>27</v>
      </c>
      <c r="B372" s="156"/>
      <c r="C372" s="157"/>
      <c r="D372" s="158" t="s">
        <v>233</v>
      </c>
      <c r="E372" s="158"/>
      <c r="F372" s="159"/>
      <c r="G372" s="160"/>
      <c r="H372" s="160"/>
      <c r="I372" s="161"/>
      <c r="J372" s="162"/>
      <c r="K372" s="162"/>
      <c r="L372" s="162"/>
      <c r="M372" s="162"/>
      <c r="N372" s="162"/>
      <c r="O372" s="162"/>
      <c r="P372" s="162"/>
      <c r="Q372" s="162"/>
      <c r="R372" s="162"/>
      <c r="S372" s="162"/>
      <c r="T372" s="162"/>
      <c r="U372" s="162"/>
      <c r="V372" s="162"/>
      <c r="W372" s="162"/>
      <c r="X372" s="163"/>
      <c r="Y372" s="140"/>
      <c r="Z372" s="156"/>
      <c r="AA372" s="157"/>
      <c r="AB372" s="158"/>
      <c r="AC372" s="158"/>
      <c r="AD372" s="159"/>
      <c r="AE372" s="160"/>
      <c r="AF372" s="160"/>
      <c r="AG372" s="162"/>
      <c r="AH372" s="162"/>
      <c r="AI372" s="162"/>
      <c r="AJ372" s="162"/>
      <c r="AK372" s="162"/>
      <c r="AL372" s="162"/>
      <c r="AM372" s="162"/>
      <c r="AN372" s="162"/>
      <c r="AO372" s="162"/>
      <c r="AP372" s="162"/>
      <c r="AQ372" s="162"/>
      <c r="AR372" s="162"/>
      <c r="AS372" s="162"/>
      <c r="AT372" s="162"/>
      <c r="AU372" s="162"/>
      <c r="AV372" s="163"/>
      <c r="AW372" s="140"/>
      <c r="AX372" s="156"/>
      <c r="AY372" s="157"/>
      <c r="AZ372" s="158"/>
      <c r="BA372" s="158"/>
      <c r="BB372" s="159"/>
      <c r="BC372" s="160"/>
      <c r="BD372" s="160"/>
      <c r="BE372" s="162"/>
      <c r="BF372" s="162"/>
      <c r="BG372" s="162"/>
      <c r="BH372" s="162"/>
      <c r="BI372" s="162"/>
      <c r="BJ372" s="162"/>
      <c r="BK372" s="162"/>
      <c r="BL372" s="162"/>
      <c r="BM372" s="162"/>
      <c r="BN372" s="162"/>
      <c r="BO372" s="162"/>
      <c r="BP372" s="162"/>
      <c r="BQ372" s="162"/>
      <c r="BR372" s="162"/>
      <c r="BS372" s="162"/>
      <c r="BT372" s="163"/>
      <c r="BU372" s="140"/>
      <c r="BV372" s="156"/>
      <c r="BW372" s="157"/>
      <c r="BX372" s="158"/>
      <c r="BY372" s="158"/>
      <c r="BZ372" s="159"/>
      <c r="CA372" s="160"/>
      <c r="CB372" s="160"/>
      <c r="CC372" s="162"/>
      <c r="CD372" s="162"/>
      <c r="CE372" s="162"/>
      <c r="CF372" s="162"/>
      <c r="CG372" s="162"/>
      <c r="CH372" s="162"/>
      <c r="CI372" s="162"/>
      <c r="CJ372" s="162"/>
      <c r="CK372" s="162"/>
      <c r="CL372" s="162"/>
      <c r="CM372" s="162"/>
      <c r="CN372" s="162"/>
      <c r="CO372" s="162"/>
      <c r="CP372" s="162"/>
      <c r="CQ372" s="162"/>
      <c r="CR372" s="163"/>
      <c r="CS372" s="140"/>
      <c r="CT372" s="156"/>
      <c r="CU372" s="157"/>
      <c r="CV372" s="158"/>
      <c r="CW372" s="158"/>
      <c r="CX372" s="159"/>
      <c r="CY372" s="160"/>
      <c r="CZ372" s="160"/>
      <c r="DA372" s="162"/>
      <c r="DB372" s="162"/>
      <c r="DC372" s="162"/>
      <c r="DD372" s="162"/>
      <c r="DE372" s="162"/>
      <c r="DF372" s="162"/>
      <c r="DG372" s="162"/>
      <c r="DH372" s="162"/>
      <c r="DI372" s="162"/>
      <c r="DJ372" s="162"/>
      <c r="DK372" s="162"/>
      <c r="DL372" s="162"/>
      <c r="DM372" s="162"/>
      <c r="DN372" s="162"/>
      <c r="DO372" s="162"/>
      <c r="DP372" s="163"/>
      <c r="DQ372" s="140"/>
      <c r="DR372" s="156"/>
      <c r="DS372" s="157"/>
      <c r="DT372" s="158"/>
      <c r="DU372" s="158"/>
      <c r="DV372" s="159"/>
      <c r="DW372" s="160"/>
      <c r="DX372" s="160"/>
      <c r="DY372" s="162"/>
      <c r="DZ372" s="162"/>
      <c r="EA372" s="162"/>
      <c r="EB372" s="162"/>
      <c r="EC372" s="162"/>
      <c r="ED372" s="162"/>
      <c r="EE372" s="162"/>
      <c r="EF372" s="162"/>
      <c r="EG372" s="162"/>
      <c r="EH372" s="162"/>
      <c r="EI372" s="162"/>
      <c r="EJ372" s="162"/>
      <c r="EK372" s="162"/>
      <c r="EL372" s="162"/>
      <c r="EM372" s="162"/>
      <c r="EN372" s="163"/>
      <c r="EO372" s="140"/>
      <c r="EP372" s="156"/>
      <c r="EQ372" s="157"/>
      <c r="ER372" s="158"/>
      <c r="ES372" s="158"/>
      <c r="ET372" s="159"/>
      <c r="EU372" s="160"/>
      <c r="EV372" s="160"/>
      <c r="EW372" s="162"/>
      <c r="EX372" s="162"/>
      <c r="EY372" s="162"/>
      <c r="EZ372" s="162"/>
      <c r="FA372" s="162"/>
      <c r="FB372" s="162"/>
      <c r="FC372" s="162"/>
      <c r="FD372" s="162"/>
      <c r="FE372" s="162"/>
      <c r="FF372" s="162"/>
      <c r="FG372" s="162"/>
      <c r="FH372" s="162"/>
      <c r="FI372" s="162"/>
      <c r="FJ372" s="162"/>
      <c r="FK372" s="162"/>
      <c r="FL372" s="163"/>
      <c r="FM372" s="140"/>
      <c r="FN372" s="156"/>
      <c r="FO372" s="157"/>
      <c r="FP372" s="158"/>
      <c r="FQ372" s="158"/>
      <c r="FR372" s="159"/>
      <c r="FS372" s="160"/>
      <c r="FT372" s="160"/>
      <c r="FU372" s="162"/>
      <c r="FV372" s="162"/>
      <c r="FW372" s="162"/>
      <c r="FX372" s="162"/>
      <c r="FY372" s="162"/>
      <c r="FZ372" s="162"/>
      <c r="GA372" s="162"/>
      <c r="GB372" s="162"/>
      <c r="GC372" s="162"/>
      <c r="GD372" s="162"/>
      <c r="GE372" s="162"/>
      <c r="GF372" s="162"/>
      <c r="GG372" s="162"/>
      <c r="GH372" s="162"/>
      <c r="GI372" s="162"/>
      <c r="GJ372" s="163"/>
      <c r="GK372" s="140"/>
      <c r="GL372" s="156"/>
      <c r="GM372" s="157"/>
      <c r="GN372" s="158"/>
      <c r="GO372" s="158"/>
      <c r="GP372" s="159"/>
      <c r="GQ372" s="160"/>
      <c r="GR372" s="160"/>
      <c r="GS372" s="162"/>
      <c r="GT372" s="162"/>
      <c r="GU372" s="162"/>
      <c r="GV372" s="162"/>
      <c r="GW372" s="162"/>
      <c r="GX372" s="162"/>
      <c r="GY372" s="162"/>
      <c r="GZ372" s="162"/>
      <c r="HA372" s="162"/>
      <c r="HB372" s="162"/>
      <c r="HC372" s="162"/>
      <c r="HD372" s="162"/>
      <c r="HE372" s="162"/>
      <c r="HF372" s="162"/>
      <c r="HG372" s="162"/>
      <c r="HH372" s="163"/>
      <c r="HI372" s="140"/>
      <c r="HJ372" s="156"/>
      <c r="HK372" s="157"/>
      <c r="HL372" s="158"/>
      <c r="HM372" s="158"/>
      <c r="HN372" s="159"/>
      <c r="HO372" s="160"/>
      <c r="HP372" s="160"/>
      <c r="HQ372" s="162"/>
      <c r="HR372" s="162"/>
      <c r="HS372" s="162"/>
      <c r="HT372" s="162"/>
      <c r="HU372" s="162"/>
      <c r="HV372" s="162"/>
      <c r="HW372" s="162"/>
      <c r="HX372" s="162"/>
      <c r="HY372" s="162"/>
      <c r="HZ372" s="162"/>
      <c r="IA372" s="162"/>
      <c r="IB372" s="162"/>
      <c r="IC372" s="162"/>
      <c r="ID372" s="162"/>
      <c r="IE372" s="162"/>
      <c r="IF372" s="163"/>
      <c r="IG372" s="140"/>
      <c r="IH372" s="156"/>
      <c r="II372" s="157"/>
      <c r="IJ372" s="158"/>
      <c r="IK372" s="158"/>
      <c r="IL372" s="159"/>
      <c r="IM372" s="160"/>
      <c r="IN372" s="160"/>
      <c r="IO372" s="162"/>
      <c r="IP372" s="162"/>
      <c r="IQ372" s="162"/>
      <c r="IR372" s="162"/>
      <c r="IS372" s="162"/>
      <c r="IT372" s="162"/>
      <c r="IU372" s="162"/>
      <c r="IV372" s="162"/>
    </row>
    <row r="373" spans="1:256" s="141" customFormat="1" x14ac:dyDescent="0.25">
      <c r="A373" s="138">
        <v>27.1</v>
      </c>
      <c r="B373" s="165" t="s">
        <v>412</v>
      </c>
      <c r="C373" s="110">
        <v>2109020</v>
      </c>
      <c r="D373" s="210" t="s">
        <v>234</v>
      </c>
      <c r="E373" s="210"/>
      <c r="F373" s="110">
        <v>796</v>
      </c>
      <c r="G373" s="81" t="s">
        <v>17</v>
      </c>
      <c r="H373" s="129">
        <v>42</v>
      </c>
      <c r="I373" s="151">
        <v>98401</v>
      </c>
      <c r="J373" s="83" t="s">
        <v>429</v>
      </c>
      <c r="K373" s="24">
        <v>1110.9000000000001</v>
      </c>
      <c r="L373" s="24"/>
      <c r="M373" s="24"/>
      <c r="N373" s="24"/>
      <c r="O373" s="24"/>
      <c r="P373" s="211"/>
      <c r="Q373" s="83"/>
      <c r="R373" s="211"/>
      <c r="S373" s="83"/>
      <c r="T373" s="211"/>
      <c r="U373" s="83"/>
      <c r="V373" s="83">
        <v>42</v>
      </c>
      <c r="W373" s="83">
        <v>1110.9000000000001</v>
      </c>
      <c r="X373" s="167"/>
      <c r="Y373" s="168"/>
      <c r="Z373" s="168"/>
      <c r="AA373" s="168"/>
      <c r="AB373" s="168"/>
      <c r="AC373" s="168"/>
      <c r="AD373" s="168"/>
      <c r="AE373" s="168"/>
    </row>
    <row r="374" spans="1:256" s="141" customFormat="1" x14ac:dyDescent="0.25">
      <c r="A374" s="138">
        <v>27.2</v>
      </c>
      <c r="B374" s="165" t="s">
        <v>412</v>
      </c>
      <c r="C374" s="110">
        <v>2109020</v>
      </c>
      <c r="D374" s="212" t="s">
        <v>235</v>
      </c>
      <c r="E374" s="212"/>
      <c r="F374" s="110">
        <v>796</v>
      </c>
      <c r="G374" s="81" t="s">
        <v>17</v>
      </c>
      <c r="H374" s="129">
        <v>70</v>
      </c>
      <c r="I374" s="151">
        <v>98401</v>
      </c>
      <c r="J374" s="83" t="s">
        <v>429</v>
      </c>
      <c r="K374" s="24">
        <v>1400</v>
      </c>
      <c r="L374" s="24"/>
      <c r="M374" s="24"/>
      <c r="N374" s="24"/>
      <c r="O374" s="24"/>
      <c r="P374" s="211">
        <v>50</v>
      </c>
      <c r="Q374" s="83">
        <v>1000</v>
      </c>
      <c r="R374" s="83">
        <v>20</v>
      </c>
      <c r="S374" s="83">
        <v>400</v>
      </c>
      <c r="T374" s="211"/>
      <c r="U374" s="83"/>
      <c r="V374" s="83">
        <v>0</v>
      </c>
      <c r="W374" s="83">
        <v>0</v>
      </c>
      <c r="X374" s="167"/>
      <c r="Y374" s="168"/>
      <c r="Z374" s="168"/>
      <c r="AA374" s="168"/>
      <c r="AB374" s="168"/>
      <c r="AC374" s="168"/>
      <c r="AD374" s="168"/>
      <c r="AE374" s="168"/>
    </row>
    <row r="375" spans="1:256" s="141" customFormat="1" x14ac:dyDescent="0.25">
      <c r="A375" s="138">
        <v>27.3</v>
      </c>
      <c r="B375" s="165" t="s">
        <v>412</v>
      </c>
      <c r="C375" s="110">
        <v>2109020</v>
      </c>
      <c r="D375" s="212" t="s">
        <v>236</v>
      </c>
      <c r="E375" s="212"/>
      <c r="F375" s="110">
        <v>796</v>
      </c>
      <c r="G375" s="81" t="s">
        <v>17</v>
      </c>
      <c r="H375" s="129">
        <v>6</v>
      </c>
      <c r="I375" s="151">
        <v>98401</v>
      </c>
      <c r="J375" s="83" t="s">
        <v>429</v>
      </c>
      <c r="K375" s="24">
        <v>210</v>
      </c>
      <c r="L375" s="24"/>
      <c r="M375" s="24"/>
      <c r="N375" s="24"/>
      <c r="O375" s="24"/>
      <c r="P375" s="211"/>
      <c r="Q375" s="83"/>
      <c r="R375" s="83"/>
      <c r="S375" s="83"/>
      <c r="T375" s="211"/>
      <c r="U375" s="83"/>
      <c r="V375" s="83">
        <v>6</v>
      </c>
      <c r="W375" s="83">
        <v>210</v>
      </c>
      <c r="X375" s="167"/>
      <c r="Y375" s="168"/>
      <c r="Z375" s="168"/>
      <c r="AA375" s="168"/>
      <c r="AB375" s="168"/>
      <c r="AC375" s="168"/>
      <c r="AD375" s="168"/>
      <c r="AE375" s="168"/>
    </row>
    <row r="376" spans="1:256" s="141" customFormat="1" x14ac:dyDescent="0.25">
      <c r="A376" s="138">
        <v>27.4</v>
      </c>
      <c r="B376" s="165" t="s">
        <v>412</v>
      </c>
      <c r="C376" s="110">
        <v>2109020</v>
      </c>
      <c r="D376" s="212" t="s">
        <v>237</v>
      </c>
      <c r="E376" s="212"/>
      <c r="F376" s="110">
        <v>796</v>
      </c>
      <c r="G376" s="81" t="s">
        <v>17</v>
      </c>
      <c r="H376" s="129">
        <v>360</v>
      </c>
      <c r="I376" s="151">
        <v>98401</v>
      </c>
      <c r="J376" s="83" t="s">
        <v>429</v>
      </c>
      <c r="K376" s="24">
        <v>10080</v>
      </c>
      <c r="L376" s="24"/>
      <c r="M376" s="24"/>
      <c r="N376" s="24"/>
      <c r="O376" s="24"/>
      <c r="P376" s="211"/>
      <c r="Q376" s="83"/>
      <c r="R376" s="83">
        <v>120</v>
      </c>
      <c r="S376" s="83">
        <v>4560</v>
      </c>
      <c r="T376" s="211">
        <v>120</v>
      </c>
      <c r="U376" s="83">
        <v>4560</v>
      </c>
      <c r="V376" s="83">
        <v>120</v>
      </c>
      <c r="W376" s="83">
        <v>960</v>
      </c>
      <c r="X376" s="167"/>
      <c r="Y376" s="168"/>
      <c r="Z376" s="168"/>
      <c r="AA376" s="168"/>
      <c r="AB376" s="168"/>
      <c r="AC376" s="168"/>
      <c r="AD376" s="168"/>
      <c r="AE376" s="168"/>
    </row>
    <row r="377" spans="1:256" s="141" customFormat="1" x14ac:dyDescent="0.25">
      <c r="A377" s="138">
        <v>27.5</v>
      </c>
      <c r="B377" s="165" t="s">
        <v>412</v>
      </c>
      <c r="C377" s="110">
        <v>2109020</v>
      </c>
      <c r="D377" s="212" t="s">
        <v>238</v>
      </c>
      <c r="E377" s="212"/>
      <c r="F377" s="110">
        <v>796</v>
      </c>
      <c r="G377" s="81" t="s">
        <v>17</v>
      </c>
      <c r="H377" s="129">
        <v>10</v>
      </c>
      <c r="I377" s="151">
        <v>98401</v>
      </c>
      <c r="J377" s="83" t="s">
        <v>429</v>
      </c>
      <c r="K377" s="24">
        <v>380</v>
      </c>
      <c r="L377" s="24"/>
      <c r="M377" s="24"/>
      <c r="N377" s="24"/>
      <c r="O377" s="24"/>
      <c r="P377" s="211"/>
      <c r="Q377" s="83"/>
      <c r="R377" s="83"/>
      <c r="S377" s="83"/>
      <c r="T377" s="211"/>
      <c r="U377" s="83"/>
      <c r="V377" s="83">
        <v>10</v>
      </c>
      <c r="W377" s="83">
        <v>380</v>
      </c>
      <c r="X377" s="167"/>
      <c r="Y377" s="168"/>
      <c r="Z377" s="168"/>
      <c r="AA377" s="168"/>
      <c r="AB377" s="168"/>
      <c r="AC377" s="168"/>
      <c r="AD377" s="168"/>
      <c r="AE377" s="168"/>
    </row>
    <row r="378" spans="1:256" s="141" customFormat="1" x14ac:dyDescent="0.25">
      <c r="A378" s="138">
        <v>27.6</v>
      </c>
      <c r="B378" s="165" t="s">
        <v>412</v>
      </c>
      <c r="C378" s="110">
        <v>2109020</v>
      </c>
      <c r="D378" s="212" t="s">
        <v>239</v>
      </c>
      <c r="E378" s="212"/>
      <c r="F378" s="110">
        <v>796</v>
      </c>
      <c r="G378" s="81" t="s">
        <v>17</v>
      </c>
      <c r="H378" s="129">
        <v>20</v>
      </c>
      <c r="I378" s="151">
        <v>98401</v>
      </c>
      <c r="J378" s="83" t="s">
        <v>429</v>
      </c>
      <c r="K378" s="24">
        <v>2240</v>
      </c>
      <c r="L378" s="24"/>
      <c r="M378" s="24"/>
      <c r="N378" s="24"/>
      <c r="O378" s="24"/>
      <c r="P378" s="211"/>
      <c r="Q378" s="83"/>
      <c r="R378" s="83"/>
      <c r="S378" s="83"/>
      <c r="T378" s="211"/>
      <c r="U378" s="83"/>
      <c r="V378" s="83">
        <v>20</v>
      </c>
      <c r="W378" s="83">
        <v>2240</v>
      </c>
      <c r="X378" s="167"/>
      <c r="Y378" s="168"/>
      <c r="Z378" s="168"/>
      <c r="AA378" s="168"/>
      <c r="AB378" s="168"/>
      <c r="AC378" s="168"/>
      <c r="AD378" s="168"/>
      <c r="AE378" s="168"/>
    </row>
    <row r="379" spans="1:256" s="141" customFormat="1" x14ac:dyDescent="0.25">
      <c r="A379" s="138">
        <v>27.7</v>
      </c>
      <c r="B379" s="165" t="s">
        <v>412</v>
      </c>
      <c r="C379" s="110">
        <v>2109020</v>
      </c>
      <c r="D379" s="212" t="s">
        <v>240</v>
      </c>
      <c r="E379" s="212"/>
      <c r="F379" s="110">
        <v>796</v>
      </c>
      <c r="G379" s="81" t="s">
        <v>241</v>
      </c>
      <c r="H379" s="129">
        <v>55</v>
      </c>
      <c r="I379" s="151">
        <v>98401</v>
      </c>
      <c r="J379" s="83" t="s">
        <v>429</v>
      </c>
      <c r="K379" s="24">
        <v>17600</v>
      </c>
      <c r="L379" s="24"/>
      <c r="M379" s="24"/>
      <c r="N379" s="24"/>
      <c r="O379" s="24"/>
      <c r="P379" s="211"/>
      <c r="Q379" s="83"/>
      <c r="R379" s="83">
        <v>20</v>
      </c>
      <c r="S379" s="83">
        <v>6400</v>
      </c>
      <c r="T379" s="211"/>
      <c r="U379" s="83"/>
      <c r="V379" s="83">
        <v>35</v>
      </c>
      <c r="W379" s="83">
        <v>11200</v>
      </c>
      <c r="X379" s="167"/>
      <c r="Y379" s="168"/>
      <c r="Z379" s="168"/>
      <c r="AA379" s="168"/>
      <c r="AB379" s="168"/>
      <c r="AC379" s="168"/>
      <c r="AD379" s="168"/>
      <c r="AE379" s="168"/>
    </row>
    <row r="380" spans="1:256" s="141" customFormat="1" x14ac:dyDescent="0.25">
      <c r="A380" s="138">
        <v>27.8</v>
      </c>
      <c r="B380" s="165" t="s">
        <v>412</v>
      </c>
      <c r="C380" s="110">
        <v>2109020</v>
      </c>
      <c r="D380" s="212" t="s">
        <v>242</v>
      </c>
      <c r="E380" s="212"/>
      <c r="F380" s="110">
        <v>796</v>
      </c>
      <c r="G380" s="81" t="s">
        <v>241</v>
      </c>
      <c r="H380" s="129">
        <v>2137</v>
      </c>
      <c r="I380" s="151">
        <v>98401</v>
      </c>
      <c r="J380" s="83" t="s">
        <v>429</v>
      </c>
      <c r="K380" s="24">
        <v>346194</v>
      </c>
      <c r="L380" s="24"/>
      <c r="M380" s="24"/>
      <c r="N380" s="24"/>
      <c r="O380" s="24"/>
      <c r="P380" s="211">
        <v>500</v>
      </c>
      <c r="Q380" s="83">
        <v>81000</v>
      </c>
      <c r="R380" s="83">
        <v>300</v>
      </c>
      <c r="S380" s="83">
        <v>48600</v>
      </c>
      <c r="T380" s="211">
        <v>500</v>
      </c>
      <c r="U380" s="83">
        <v>81000</v>
      </c>
      <c r="V380" s="83">
        <v>837</v>
      </c>
      <c r="W380" s="83">
        <v>135594</v>
      </c>
      <c r="X380" s="167"/>
      <c r="Y380" s="168"/>
      <c r="Z380" s="168"/>
      <c r="AA380" s="168"/>
      <c r="AB380" s="168"/>
      <c r="AC380" s="168"/>
      <c r="AD380" s="168"/>
      <c r="AE380" s="168"/>
    </row>
    <row r="381" spans="1:256" s="141" customFormat="1" x14ac:dyDescent="0.25">
      <c r="A381" s="138">
        <v>27.9</v>
      </c>
      <c r="B381" s="165" t="s">
        <v>412</v>
      </c>
      <c r="C381" s="110">
        <v>2109020</v>
      </c>
      <c r="D381" s="212" t="s">
        <v>243</v>
      </c>
      <c r="E381" s="212"/>
      <c r="F381" s="110">
        <v>796</v>
      </c>
      <c r="G381" s="81" t="s">
        <v>17</v>
      </c>
      <c r="H381" s="129">
        <v>4</v>
      </c>
      <c r="I381" s="151">
        <v>98401</v>
      </c>
      <c r="J381" s="83" t="s">
        <v>429</v>
      </c>
      <c r="K381" s="24">
        <v>680</v>
      </c>
      <c r="L381" s="24"/>
      <c r="M381" s="24"/>
      <c r="N381" s="24"/>
      <c r="O381" s="24"/>
      <c r="P381" s="211"/>
      <c r="Q381" s="83"/>
      <c r="R381" s="83"/>
      <c r="S381" s="83"/>
      <c r="T381" s="211"/>
      <c r="U381" s="83"/>
      <c r="V381" s="83">
        <v>4</v>
      </c>
      <c r="W381" s="83">
        <v>680</v>
      </c>
      <c r="X381" s="167"/>
      <c r="Y381" s="168"/>
      <c r="Z381" s="168"/>
      <c r="AA381" s="168"/>
      <c r="AB381" s="168"/>
      <c r="AC381" s="168"/>
      <c r="AD381" s="168"/>
      <c r="AE381" s="168"/>
    </row>
    <row r="382" spans="1:256" s="141" customFormat="1" ht="30" x14ac:dyDescent="0.25">
      <c r="A382" s="138">
        <v>27.1</v>
      </c>
      <c r="B382" s="165" t="s">
        <v>412</v>
      </c>
      <c r="C382" s="110">
        <v>2109020</v>
      </c>
      <c r="D382" s="212" t="s">
        <v>244</v>
      </c>
      <c r="E382" s="212"/>
      <c r="F382" s="110">
        <v>796</v>
      </c>
      <c r="G382" s="81" t="s">
        <v>17</v>
      </c>
      <c r="H382" s="129">
        <v>5</v>
      </c>
      <c r="I382" s="151">
        <v>98401</v>
      </c>
      <c r="J382" s="83" t="s">
        <v>429</v>
      </c>
      <c r="K382" s="24">
        <v>1150</v>
      </c>
      <c r="L382" s="24"/>
      <c r="M382" s="24"/>
      <c r="N382" s="24"/>
      <c r="O382" s="24"/>
      <c r="P382" s="211"/>
      <c r="Q382" s="83"/>
      <c r="R382" s="83"/>
      <c r="S382" s="83"/>
      <c r="T382" s="211"/>
      <c r="U382" s="83"/>
      <c r="V382" s="83">
        <v>5</v>
      </c>
      <c r="W382" s="83">
        <v>1150</v>
      </c>
      <c r="X382" s="167"/>
      <c r="Y382" s="168"/>
      <c r="Z382" s="168"/>
      <c r="AA382" s="168"/>
      <c r="AB382" s="168"/>
      <c r="AC382" s="168"/>
      <c r="AD382" s="168"/>
      <c r="AE382" s="168"/>
    </row>
    <row r="383" spans="1:256" s="141" customFormat="1" x14ac:dyDescent="0.25">
      <c r="A383" s="138">
        <v>27.11</v>
      </c>
      <c r="B383" s="165" t="s">
        <v>412</v>
      </c>
      <c r="C383" s="110">
        <v>2109020</v>
      </c>
      <c r="D383" s="210" t="s">
        <v>245</v>
      </c>
      <c r="E383" s="210"/>
      <c r="F383" s="110">
        <v>796</v>
      </c>
      <c r="G383" s="81" t="s">
        <v>17</v>
      </c>
      <c r="H383" s="129">
        <v>19</v>
      </c>
      <c r="I383" s="151">
        <v>98401</v>
      </c>
      <c r="J383" s="83" t="s">
        <v>429</v>
      </c>
      <c r="K383" s="24">
        <v>22800</v>
      </c>
      <c r="L383" s="24"/>
      <c r="M383" s="24"/>
      <c r="N383" s="24"/>
      <c r="O383" s="24"/>
      <c r="P383" s="211"/>
      <c r="Q383" s="83"/>
      <c r="R383" s="83">
        <v>10</v>
      </c>
      <c r="S383" s="83">
        <v>12000</v>
      </c>
      <c r="T383" s="211"/>
      <c r="U383" s="83"/>
      <c r="V383" s="83">
        <v>9</v>
      </c>
      <c r="W383" s="83">
        <v>10800</v>
      </c>
      <c r="X383" s="167"/>
      <c r="Y383" s="168"/>
      <c r="Z383" s="168"/>
      <c r="AA383" s="168"/>
      <c r="AB383" s="168"/>
      <c r="AC383" s="168"/>
      <c r="AD383" s="168"/>
      <c r="AE383" s="168"/>
    </row>
    <row r="384" spans="1:256" s="141" customFormat="1" x14ac:dyDescent="0.25">
      <c r="A384" s="138">
        <v>27.12</v>
      </c>
      <c r="B384" s="165" t="s">
        <v>412</v>
      </c>
      <c r="C384" s="110">
        <v>2109020</v>
      </c>
      <c r="D384" s="212" t="s">
        <v>246</v>
      </c>
      <c r="E384" s="212"/>
      <c r="F384" s="110">
        <v>796</v>
      </c>
      <c r="G384" s="81" t="s">
        <v>17</v>
      </c>
      <c r="H384" s="129">
        <v>150</v>
      </c>
      <c r="I384" s="151">
        <v>98401</v>
      </c>
      <c r="J384" s="83" t="s">
        <v>429</v>
      </c>
      <c r="K384" s="24">
        <v>10620</v>
      </c>
      <c r="L384" s="24"/>
      <c r="M384" s="24"/>
      <c r="N384" s="24"/>
      <c r="O384" s="24"/>
      <c r="P384" s="211"/>
      <c r="Q384" s="83"/>
      <c r="R384" s="83">
        <v>150</v>
      </c>
      <c r="S384" s="83">
        <v>10620</v>
      </c>
      <c r="T384" s="211"/>
      <c r="U384" s="83"/>
      <c r="V384" s="83">
        <v>0</v>
      </c>
      <c r="W384" s="83">
        <v>0</v>
      </c>
      <c r="X384" s="167"/>
      <c r="Y384" s="168"/>
      <c r="Z384" s="168"/>
      <c r="AA384" s="168"/>
      <c r="AB384" s="168"/>
      <c r="AC384" s="168"/>
      <c r="AD384" s="168"/>
      <c r="AE384" s="168"/>
    </row>
    <row r="385" spans="1:31" s="141" customFormat="1" x14ac:dyDescent="0.25">
      <c r="A385" s="138">
        <v>27.13</v>
      </c>
      <c r="B385" s="165" t="s">
        <v>412</v>
      </c>
      <c r="C385" s="110">
        <v>2109020</v>
      </c>
      <c r="D385" s="172" t="s">
        <v>247</v>
      </c>
      <c r="E385" s="172"/>
      <c r="F385" s="110">
        <v>796</v>
      </c>
      <c r="G385" s="81" t="s">
        <v>17</v>
      </c>
      <c r="H385" s="129">
        <v>50</v>
      </c>
      <c r="I385" s="151">
        <v>98401</v>
      </c>
      <c r="J385" s="83" t="s">
        <v>429</v>
      </c>
      <c r="K385" s="24">
        <v>750</v>
      </c>
      <c r="L385" s="24"/>
      <c r="M385" s="24"/>
      <c r="N385" s="24"/>
      <c r="O385" s="24"/>
      <c r="P385" s="211"/>
      <c r="Q385" s="83"/>
      <c r="R385" s="83">
        <v>50</v>
      </c>
      <c r="S385" s="83">
        <v>750</v>
      </c>
      <c r="T385" s="211"/>
      <c r="U385" s="83"/>
      <c r="V385" s="83">
        <v>0</v>
      </c>
      <c r="W385" s="83">
        <v>0</v>
      </c>
      <c r="X385" s="167"/>
      <c r="Y385" s="168"/>
      <c r="Z385" s="168"/>
      <c r="AA385" s="168"/>
      <c r="AB385" s="168"/>
      <c r="AC385" s="168"/>
      <c r="AD385" s="168"/>
      <c r="AE385" s="168"/>
    </row>
    <row r="386" spans="1:31" s="141" customFormat="1" x14ac:dyDescent="0.25">
      <c r="A386" s="138">
        <v>27.14</v>
      </c>
      <c r="B386" s="165" t="s">
        <v>412</v>
      </c>
      <c r="C386" s="110">
        <v>2109020</v>
      </c>
      <c r="D386" s="212" t="s">
        <v>248</v>
      </c>
      <c r="E386" s="212"/>
      <c r="F386" s="110">
        <v>796</v>
      </c>
      <c r="G386" s="81" t="s">
        <v>17</v>
      </c>
      <c r="H386" s="129">
        <v>3</v>
      </c>
      <c r="I386" s="151">
        <v>98401</v>
      </c>
      <c r="J386" s="83" t="s">
        <v>429</v>
      </c>
      <c r="K386" s="24">
        <v>90</v>
      </c>
      <c r="L386" s="24"/>
      <c r="M386" s="24"/>
      <c r="N386" s="24"/>
      <c r="O386" s="24"/>
      <c r="P386" s="211"/>
      <c r="Q386" s="83"/>
      <c r="R386" s="83"/>
      <c r="S386" s="83"/>
      <c r="T386" s="211"/>
      <c r="U386" s="83"/>
      <c r="V386" s="83">
        <v>3</v>
      </c>
      <c r="W386" s="83">
        <v>90</v>
      </c>
      <c r="X386" s="167"/>
      <c r="Y386" s="168"/>
      <c r="Z386" s="168"/>
      <c r="AA386" s="168"/>
      <c r="AB386" s="168"/>
      <c r="AC386" s="168"/>
      <c r="AD386" s="168"/>
      <c r="AE386" s="168"/>
    </row>
    <row r="387" spans="1:31" s="141" customFormat="1" x14ac:dyDescent="0.25">
      <c r="A387" s="138">
        <v>27.15</v>
      </c>
      <c r="B387" s="165" t="s">
        <v>412</v>
      </c>
      <c r="C387" s="110">
        <v>2109020</v>
      </c>
      <c r="D387" s="212" t="s">
        <v>249</v>
      </c>
      <c r="E387" s="212"/>
      <c r="F387" s="110">
        <v>796</v>
      </c>
      <c r="G387" s="81" t="s">
        <v>17</v>
      </c>
      <c r="H387" s="129">
        <v>1</v>
      </c>
      <c r="I387" s="151">
        <v>98401</v>
      </c>
      <c r="J387" s="83" t="s">
        <v>429</v>
      </c>
      <c r="K387" s="24">
        <v>30</v>
      </c>
      <c r="L387" s="24"/>
      <c r="M387" s="24"/>
      <c r="N387" s="24"/>
      <c r="O387" s="24"/>
      <c r="P387" s="211"/>
      <c r="Q387" s="83"/>
      <c r="R387" s="83"/>
      <c r="S387" s="83"/>
      <c r="T387" s="211"/>
      <c r="U387" s="83"/>
      <c r="V387" s="83">
        <v>1</v>
      </c>
      <c r="W387" s="83">
        <v>30</v>
      </c>
      <c r="X387" s="167"/>
      <c r="Y387" s="168"/>
      <c r="Z387" s="168"/>
      <c r="AA387" s="168"/>
      <c r="AB387" s="168"/>
      <c r="AC387" s="168"/>
      <c r="AD387" s="168"/>
      <c r="AE387" s="168"/>
    </row>
    <row r="388" spans="1:31" s="141" customFormat="1" x14ac:dyDescent="0.25">
      <c r="A388" s="138">
        <v>27.16</v>
      </c>
      <c r="B388" s="165" t="s">
        <v>412</v>
      </c>
      <c r="C388" s="110">
        <v>2109020</v>
      </c>
      <c r="D388" s="172" t="s">
        <v>250</v>
      </c>
      <c r="E388" s="172"/>
      <c r="F388" s="110">
        <v>796</v>
      </c>
      <c r="G388" s="81" t="s">
        <v>17</v>
      </c>
      <c r="H388" s="129">
        <v>5</v>
      </c>
      <c r="I388" s="151">
        <v>98401</v>
      </c>
      <c r="J388" s="83" t="s">
        <v>429</v>
      </c>
      <c r="K388" s="24">
        <v>2250</v>
      </c>
      <c r="L388" s="24"/>
      <c r="M388" s="24"/>
      <c r="N388" s="24"/>
      <c r="O388" s="24"/>
      <c r="P388" s="211"/>
      <c r="Q388" s="83"/>
      <c r="R388" s="83"/>
      <c r="S388" s="83"/>
      <c r="T388" s="211"/>
      <c r="U388" s="83"/>
      <c r="V388" s="83">
        <v>5</v>
      </c>
      <c r="W388" s="83">
        <v>2250</v>
      </c>
      <c r="X388" s="167"/>
      <c r="Y388" s="168"/>
      <c r="Z388" s="168"/>
      <c r="AA388" s="168"/>
      <c r="AB388" s="168"/>
      <c r="AC388" s="168"/>
      <c r="AD388" s="168"/>
      <c r="AE388" s="168"/>
    </row>
    <row r="389" spans="1:31" s="141" customFormat="1" x14ac:dyDescent="0.25">
      <c r="A389" s="138">
        <v>27.17</v>
      </c>
      <c r="B389" s="165" t="s">
        <v>412</v>
      </c>
      <c r="C389" s="110">
        <v>2109020</v>
      </c>
      <c r="D389" s="172" t="s">
        <v>251</v>
      </c>
      <c r="E389" s="172"/>
      <c r="F389" s="110">
        <v>796</v>
      </c>
      <c r="G389" s="81" t="s">
        <v>17</v>
      </c>
      <c r="H389" s="129">
        <v>9</v>
      </c>
      <c r="I389" s="151">
        <v>98401</v>
      </c>
      <c r="J389" s="83" t="s">
        <v>429</v>
      </c>
      <c r="K389" s="24">
        <v>4050</v>
      </c>
      <c r="L389" s="24"/>
      <c r="M389" s="24"/>
      <c r="N389" s="24"/>
      <c r="O389" s="24"/>
      <c r="P389" s="211"/>
      <c r="Q389" s="83"/>
      <c r="R389" s="83"/>
      <c r="S389" s="83"/>
      <c r="T389" s="211"/>
      <c r="U389" s="83"/>
      <c r="V389" s="83">
        <v>9</v>
      </c>
      <c r="W389" s="83">
        <v>4050</v>
      </c>
      <c r="X389" s="167"/>
      <c r="Y389" s="168"/>
      <c r="Z389" s="168"/>
      <c r="AA389" s="168"/>
      <c r="AB389" s="168"/>
      <c r="AC389" s="168"/>
      <c r="AD389" s="168"/>
      <c r="AE389" s="168"/>
    </row>
    <row r="390" spans="1:31" s="141" customFormat="1" x14ac:dyDescent="0.25">
      <c r="A390" s="138">
        <v>27.18</v>
      </c>
      <c r="B390" s="165" t="s">
        <v>412</v>
      </c>
      <c r="C390" s="110">
        <v>2109020</v>
      </c>
      <c r="D390" s="172" t="s">
        <v>252</v>
      </c>
      <c r="E390" s="172"/>
      <c r="F390" s="110">
        <v>796</v>
      </c>
      <c r="G390" s="81" t="s">
        <v>17</v>
      </c>
      <c r="H390" s="129">
        <v>10</v>
      </c>
      <c r="I390" s="151">
        <v>98401</v>
      </c>
      <c r="J390" s="83" t="s">
        <v>429</v>
      </c>
      <c r="K390" s="24">
        <v>4500</v>
      </c>
      <c r="L390" s="24"/>
      <c r="M390" s="24"/>
      <c r="N390" s="24"/>
      <c r="O390" s="24"/>
      <c r="P390" s="211"/>
      <c r="Q390" s="83"/>
      <c r="R390" s="83">
        <v>10</v>
      </c>
      <c r="S390" s="83">
        <v>4500</v>
      </c>
      <c r="T390" s="211"/>
      <c r="U390" s="83"/>
      <c r="V390" s="83">
        <v>0</v>
      </c>
      <c r="W390" s="83">
        <v>0</v>
      </c>
      <c r="X390" s="167"/>
      <c r="Y390" s="168"/>
      <c r="Z390" s="168"/>
      <c r="AA390" s="168"/>
      <c r="AB390" s="168"/>
      <c r="AC390" s="168"/>
      <c r="AD390" s="168"/>
      <c r="AE390" s="168"/>
    </row>
    <row r="391" spans="1:31" s="141" customFormat="1" x14ac:dyDescent="0.25">
      <c r="A391" s="138">
        <v>27.19</v>
      </c>
      <c r="B391" s="165" t="s">
        <v>412</v>
      </c>
      <c r="C391" s="110">
        <v>2109020</v>
      </c>
      <c r="D391" s="212" t="s">
        <v>253</v>
      </c>
      <c r="E391" s="212"/>
      <c r="F391" s="110">
        <v>796</v>
      </c>
      <c r="G391" s="81" t="s">
        <v>17</v>
      </c>
      <c r="H391" s="129">
        <v>48</v>
      </c>
      <c r="I391" s="151">
        <v>98401</v>
      </c>
      <c r="J391" s="83" t="s">
        <v>429</v>
      </c>
      <c r="K391" s="24">
        <v>864</v>
      </c>
      <c r="L391" s="24"/>
      <c r="M391" s="24"/>
      <c r="N391" s="24"/>
      <c r="O391" s="24"/>
      <c r="P391" s="211"/>
      <c r="Q391" s="83"/>
      <c r="R391" s="83"/>
      <c r="S391" s="83"/>
      <c r="T391" s="211"/>
      <c r="U391" s="83"/>
      <c r="V391" s="83">
        <v>48</v>
      </c>
      <c r="W391" s="83">
        <v>864</v>
      </c>
      <c r="X391" s="167"/>
      <c r="Y391" s="168"/>
      <c r="Z391" s="168"/>
      <c r="AA391" s="168"/>
      <c r="AB391" s="168"/>
      <c r="AC391" s="168"/>
      <c r="AD391" s="168"/>
      <c r="AE391" s="168"/>
    </row>
    <row r="392" spans="1:31" s="141" customFormat="1" x14ac:dyDescent="0.25">
      <c r="A392" s="138">
        <v>27.2</v>
      </c>
      <c r="B392" s="165" t="s">
        <v>412</v>
      </c>
      <c r="C392" s="110">
        <v>2109020</v>
      </c>
      <c r="D392" s="212" t="s">
        <v>254</v>
      </c>
      <c r="E392" s="212"/>
      <c r="F392" s="110">
        <v>796</v>
      </c>
      <c r="G392" s="81" t="s">
        <v>17</v>
      </c>
      <c r="H392" s="129">
        <v>171</v>
      </c>
      <c r="I392" s="151">
        <v>98401</v>
      </c>
      <c r="J392" s="83" t="s">
        <v>429</v>
      </c>
      <c r="K392" s="24">
        <v>8721</v>
      </c>
      <c r="L392" s="24"/>
      <c r="M392" s="24"/>
      <c r="N392" s="24"/>
      <c r="O392" s="24"/>
      <c r="P392" s="211"/>
      <c r="Q392" s="83"/>
      <c r="R392" s="83"/>
      <c r="S392" s="83"/>
      <c r="T392" s="211"/>
      <c r="U392" s="83"/>
      <c r="V392" s="83">
        <v>171</v>
      </c>
      <c r="W392" s="83">
        <v>8721</v>
      </c>
      <c r="X392" s="167"/>
      <c r="Y392" s="168"/>
      <c r="Z392" s="168"/>
      <c r="AA392" s="168"/>
      <c r="AB392" s="168"/>
      <c r="AC392" s="168"/>
      <c r="AD392" s="168"/>
      <c r="AE392" s="168"/>
    </row>
    <row r="393" spans="1:31" s="141" customFormat="1" x14ac:dyDescent="0.25">
      <c r="A393" s="138">
        <v>27.21</v>
      </c>
      <c r="B393" s="165" t="s">
        <v>412</v>
      </c>
      <c r="C393" s="110">
        <v>2109020</v>
      </c>
      <c r="D393" s="212" t="s">
        <v>255</v>
      </c>
      <c r="E393" s="212"/>
      <c r="F393" s="110">
        <v>796</v>
      </c>
      <c r="G393" s="81" t="s">
        <v>17</v>
      </c>
      <c r="H393" s="129">
        <v>122</v>
      </c>
      <c r="I393" s="151">
        <v>98401</v>
      </c>
      <c r="J393" s="83" t="s">
        <v>429</v>
      </c>
      <c r="K393" s="24">
        <v>15250</v>
      </c>
      <c r="L393" s="24"/>
      <c r="M393" s="24"/>
      <c r="N393" s="24"/>
      <c r="O393" s="24"/>
      <c r="P393" s="211"/>
      <c r="Q393" s="83"/>
      <c r="R393" s="83"/>
      <c r="S393" s="83"/>
      <c r="T393" s="211"/>
      <c r="U393" s="83"/>
      <c r="V393" s="83">
        <v>122</v>
      </c>
      <c r="W393" s="83">
        <v>15250</v>
      </c>
      <c r="X393" s="167"/>
      <c r="Y393" s="168"/>
      <c r="Z393" s="168"/>
      <c r="AA393" s="168"/>
      <c r="AB393" s="168"/>
      <c r="AC393" s="168"/>
      <c r="AD393" s="168"/>
      <c r="AE393" s="168"/>
    </row>
    <row r="394" spans="1:31" s="141" customFormat="1" x14ac:dyDescent="0.25">
      <c r="A394" s="138">
        <v>27.22</v>
      </c>
      <c r="B394" s="165" t="s">
        <v>412</v>
      </c>
      <c r="C394" s="110">
        <v>2109020</v>
      </c>
      <c r="D394" s="212" t="s">
        <v>256</v>
      </c>
      <c r="E394" s="212"/>
      <c r="F394" s="110">
        <v>796</v>
      </c>
      <c r="G394" s="81" t="s">
        <v>17</v>
      </c>
      <c r="H394" s="129">
        <v>12</v>
      </c>
      <c r="I394" s="151">
        <v>98401</v>
      </c>
      <c r="J394" s="83" t="s">
        <v>429</v>
      </c>
      <c r="K394" s="24">
        <v>10800</v>
      </c>
      <c r="L394" s="24"/>
      <c r="M394" s="24"/>
      <c r="N394" s="24"/>
      <c r="O394" s="24"/>
      <c r="P394" s="211"/>
      <c r="Q394" s="83"/>
      <c r="R394" s="83">
        <v>10</v>
      </c>
      <c r="S394" s="83">
        <v>9000</v>
      </c>
      <c r="T394" s="211"/>
      <c r="U394" s="83"/>
      <c r="V394" s="83">
        <v>2</v>
      </c>
      <c r="W394" s="83">
        <v>1800</v>
      </c>
      <c r="X394" s="167"/>
      <c r="Y394" s="168"/>
      <c r="Z394" s="168"/>
      <c r="AA394" s="168"/>
      <c r="AB394" s="168"/>
      <c r="AC394" s="168"/>
      <c r="AD394" s="168"/>
      <c r="AE394" s="168"/>
    </row>
    <row r="395" spans="1:31" s="141" customFormat="1" x14ac:dyDescent="0.25">
      <c r="A395" s="138">
        <v>27.23</v>
      </c>
      <c r="B395" s="165" t="s">
        <v>412</v>
      </c>
      <c r="C395" s="110">
        <v>2109020</v>
      </c>
      <c r="D395" s="212" t="s">
        <v>257</v>
      </c>
      <c r="E395" s="212"/>
      <c r="F395" s="110">
        <v>796</v>
      </c>
      <c r="G395" s="81" t="s">
        <v>17</v>
      </c>
      <c r="H395" s="129">
        <v>12</v>
      </c>
      <c r="I395" s="151">
        <v>98401</v>
      </c>
      <c r="J395" s="83" t="s">
        <v>429</v>
      </c>
      <c r="K395" s="24">
        <v>3543.6</v>
      </c>
      <c r="L395" s="24"/>
      <c r="M395" s="24"/>
      <c r="N395" s="24"/>
      <c r="O395" s="24"/>
      <c r="P395" s="211"/>
      <c r="Q395" s="83"/>
      <c r="R395" s="83">
        <v>5</v>
      </c>
      <c r="S395" s="83">
        <v>1476.5</v>
      </c>
      <c r="T395" s="211"/>
      <c r="U395" s="83"/>
      <c r="V395" s="83">
        <v>7</v>
      </c>
      <c r="W395" s="83">
        <v>2067.1</v>
      </c>
      <c r="X395" s="167"/>
      <c r="Y395" s="168"/>
      <c r="Z395" s="168"/>
      <c r="AA395" s="168"/>
      <c r="AB395" s="168"/>
      <c r="AC395" s="168"/>
      <c r="AD395" s="168"/>
      <c r="AE395" s="168"/>
    </row>
    <row r="396" spans="1:31" s="141" customFormat="1" x14ac:dyDescent="0.25">
      <c r="A396" s="138">
        <v>27.24</v>
      </c>
      <c r="B396" s="165" t="s">
        <v>412</v>
      </c>
      <c r="C396" s="110">
        <v>2109020</v>
      </c>
      <c r="D396" s="212" t="s">
        <v>258</v>
      </c>
      <c r="E396" s="212"/>
      <c r="F396" s="110">
        <v>796</v>
      </c>
      <c r="G396" s="81" t="s">
        <v>17</v>
      </c>
      <c r="H396" s="129">
        <v>36</v>
      </c>
      <c r="I396" s="151">
        <v>98401</v>
      </c>
      <c r="J396" s="83" t="s">
        <v>429</v>
      </c>
      <c r="K396" s="24">
        <v>957.6</v>
      </c>
      <c r="L396" s="24"/>
      <c r="M396" s="24"/>
      <c r="N396" s="24"/>
      <c r="O396" s="24"/>
      <c r="P396" s="211"/>
      <c r="Q396" s="83"/>
      <c r="R396" s="83">
        <v>20</v>
      </c>
      <c r="S396" s="83">
        <v>532</v>
      </c>
      <c r="T396" s="211"/>
      <c r="U396" s="83"/>
      <c r="V396" s="83">
        <v>16</v>
      </c>
      <c r="W396" s="83">
        <v>425.6</v>
      </c>
      <c r="X396" s="167"/>
      <c r="Y396" s="168"/>
      <c r="Z396" s="168"/>
      <c r="AA396" s="168"/>
      <c r="AB396" s="168"/>
      <c r="AC396" s="168"/>
      <c r="AD396" s="168"/>
      <c r="AE396" s="168"/>
    </row>
    <row r="397" spans="1:31" s="141" customFormat="1" x14ac:dyDescent="0.25">
      <c r="A397" s="138">
        <v>27.25</v>
      </c>
      <c r="B397" s="165" t="s">
        <v>412</v>
      </c>
      <c r="C397" s="110">
        <v>2109020</v>
      </c>
      <c r="D397" s="212" t="s">
        <v>259</v>
      </c>
      <c r="E397" s="212"/>
      <c r="F397" s="110">
        <v>796</v>
      </c>
      <c r="G397" s="81" t="s">
        <v>17</v>
      </c>
      <c r="H397" s="129">
        <v>746</v>
      </c>
      <c r="I397" s="151">
        <v>98401</v>
      </c>
      <c r="J397" s="83" t="s">
        <v>429</v>
      </c>
      <c r="K397" s="24">
        <v>5595</v>
      </c>
      <c r="L397" s="24"/>
      <c r="M397" s="24"/>
      <c r="N397" s="24"/>
      <c r="O397" s="24"/>
      <c r="P397" s="211"/>
      <c r="Q397" s="83"/>
      <c r="R397" s="83">
        <v>300</v>
      </c>
      <c r="S397" s="83">
        <v>2250</v>
      </c>
      <c r="T397" s="211"/>
      <c r="U397" s="83"/>
      <c r="V397" s="83">
        <v>446</v>
      </c>
      <c r="W397" s="83">
        <v>3345</v>
      </c>
      <c r="X397" s="167"/>
      <c r="Y397" s="168"/>
      <c r="Z397" s="168"/>
      <c r="AA397" s="168"/>
      <c r="AB397" s="168"/>
      <c r="AC397" s="168"/>
      <c r="AD397" s="168"/>
      <c r="AE397" s="168"/>
    </row>
    <row r="398" spans="1:31" s="141" customFormat="1" x14ac:dyDescent="0.25">
      <c r="A398" s="138">
        <v>27.26</v>
      </c>
      <c r="B398" s="165" t="s">
        <v>412</v>
      </c>
      <c r="C398" s="110">
        <v>2109020</v>
      </c>
      <c r="D398" s="210" t="s">
        <v>260</v>
      </c>
      <c r="E398" s="210"/>
      <c r="F398" s="110">
        <v>796</v>
      </c>
      <c r="G398" s="81" t="s">
        <v>17</v>
      </c>
      <c r="H398" s="129">
        <v>50</v>
      </c>
      <c r="I398" s="151">
        <v>98401</v>
      </c>
      <c r="J398" s="83" t="s">
        <v>429</v>
      </c>
      <c r="K398" s="24">
        <v>500</v>
      </c>
      <c r="L398" s="24"/>
      <c r="M398" s="24"/>
      <c r="N398" s="24"/>
      <c r="O398" s="24"/>
      <c r="P398" s="211"/>
      <c r="Q398" s="83"/>
      <c r="R398" s="83"/>
      <c r="S398" s="83"/>
      <c r="T398" s="211"/>
      <c r="U398" s="83"/>
      <c r="V398" s="83">
        <v>50</v>
      </c>
      <c r="W398" s="83">
        <v>500</v>
      </c>
      <c r="X398" s="167"/>
      <c r="Y398" s="168"/>
      <c r="Z398" s="168"/>
      <c r="AA398" s="168"/>
      <c r="AB398" s="168"/>
      <c r="AC398" s="168"/>
      <c r="AD398" s="168"/>
      <c r="AE398" s="168"/>
    </row>
    <row r="399" spans="1:31" s="141" customFormat="1" x14ac:dyDescent="0.25">
      <c r="A399" s="138">
        <v>27.27</v>
      </c>
      <c r="B399" s="165" t="s">
        <v>412</v>
      </c>
      <c r="C399" s="110">
        <v>2109020</v>
      </c>
      <c r="D399" s="212" t="s">
        <v>261</v>
      </c>
      <c r="E399" s="212"/>
      <c r="F399" s="110">
        <v>796</v>
      </c>
      <c r="G399" s="81" t="s">
        <v>17</v>
      </c>
      <c r="H399" s="129">
        <v>690</v>
      </c>
      <c r="I399" s="151">
        <v>98401</v>
      </c>
      <c r="J399" s="83" t="s">
        <v>429</v>
      </c>
      <c r="K399" s="24">
        <v>22873.5</v>
      </c>
      <c r="L399" s="24"/>
      <c r="M399" s="24"/>
      <c r="N399" s="24"/>
      <c r="O399" s="24"/>
      <c r="P399" s="211">
        <v>100</v>
      </c>
      <c r="Q399" s="83">
        <v>3315</v>
      </c>
      <c r="R399" s="83">
        <v>200</v>
      </c>
      <c r="S399" s="83">
        <v>6630</v>
      </c>
      <c r="T399" s="211">
        <v>100</v>
      </c>
      <c r="U399" s="83">
        <v>3315</v>
      </c>
      <c r="V399" s="83">
        <v>290</v>
      </c>
      <c r="W399" s="83">
        <v>9613.5</v>
      </c>
      <c r="X399" s="167"/>
      <c r="Y399" s="168"/>
      <c r="Z399" s="168"/>
      <c r="AA399" s="168"/>
      <c r="AB399" s="168"/>
      <c r="AC399" s="168"/>
      <c r="AD399" s="168"/>
      <c r="AE399" s="168"/>
    </row>
    <row r="400" spans="1:31" s="141" customFormat="1" x14ac:dyDescent="0.25">
      <c r="A400" s="138">
        <v>27.28</v>
      </c>
      <c r="B400" s="165" t="s">
        <v>412</v>
      </c>
      <c r="C400" s="110">
        <v>2109020</v>
      </c>
      <c r="D400" s="212" t="s">
        <v>262</v>
      </c>
      <c r="E400" s="212"/>
      <c r="F400" s="110">
        <v>796</v>
      </c>
      <c r="G400" s="81" t="s">
        <v>17</v>
      </c>
      <c r="H400" s="129">
        <v>39</v>
      </c>
      <c r="I400" s="151">
        <v>98401</v>
      </c>
      <c r="J400" s="83" t="s">
        <v>429</v>
      </c>
      <c r="K400" s="24">
        <v>3120</v>
      </c>
      <c r="L400" s="24"/>
      <c r="M400" s="24"/>
      <c r="N400" s="24"/>
      <c r="O400" s="24"/>
      <c r="P400" s="211"/>
      <c r="Q400" s="83"/>
      <c r="R400" s="83"/>
      <c r="S400" s="83"/>
      <c r="T400" s="211"/>
      <c r="U400" s="83"/>
      <c r="V400" s="83">
        <v>39</v>
      </c>
      <c r="W400" s="83">
        <v>3120</v>
      </c>
      <c r="X400" s="167"/>
      <c r="Y400" s="168"/>
      <c r="Z400" s="168"/>
      <c r="AA400" s="168"/>
      <c r="AB400" s="168"/>
      <c r="AC400" s="168"/>
      <c r="AD400" s="168"/>
      <c r="AE400" s="168"/>
    </row>
    <row r="401" spans="1:31" s="141" customFormat="1" x14ac:dyDescent="0.25">
      <c r="A401" s="138">
        <v>27.29</v>
      </c>
      <c r="B401" s="165" t="s">
        <v>412</v>
      </c>
      <c r="C401" s="110">
        <v>2109020</v>
      </c>
      <c r="D401" s="212" t="s">
        <v>263</v>
      </c>
      <c r="E401" s="212"/>
      <c r="F401" s="110">
        <v>796</v>
      </c>
      <c r="G401" s="81" t="s">
        <v>17</v>
      </c>
      <c r="H401" s="129">
        <v>59</v>
      </c>
      <c r="I401" s="151">
        <v>98401</v>
      </c>
      <c r="J401" s="83" t="s">
        <v>429</v>
      </c>
      <c r="K401" s="24">
        <v>118</v>
      </c>
      <c r="L401" s="24"/>
      <c r="M401" s="24"/>
      <c r="N401" s="24"/>
      <c r="O401" s="24"/>
      <c r="P401" s="211"/>
      <c r="Q401" s="83"/>
      <c r="R401" s="83"/>
      <c r="S401" s="83"/>
      <c r="T401" s="211"/>
      <c r="U401" s="83"/>
      <c r="V401" s="83">
        <v>59</v>
      </c>
      <c r="W401" s="83">
        <v>118</v>
      </c>
      <c r="X401" s="167"/>
      <c r="Y401" s="168"/>
      <c r="Z401" s="168"/>
      <c r="AA401" s="168"/>
      <c r="AB401" s="168"/>
      <c r="AC401" s="168"/>
      <c r="AD401" s="168"/>
      <c r="AE401" s="168"/>
    </row>
    <row r="402" spans="1:31" s="141" customFormat="1" x14ac:dyDescent="0.25">
      <c r="A402" s="138">
        <v>27.3</v>
      </c>
      <c r="B402" s="165" t="s">
        <v>412</v>
      </c>
      <c r="C402" s="110">
        <v>2109020</v>
      </c>
      <c r="D402" s="212" t="s">
        <v>264</v>
      </c>
      <c r="E402" s="212"/>
      <c r="F402" s="110">
        <v>796</v>
      </c>
      <c r="G402" s="81" t="s">
        <v>17</v>
      </c>
      <c r="H402" s="129">
        <v>270</v>
      </c>
      <c r="I402" s="151">
        <v>98401</v>
      </c>
      <c r="J402" s="83" t="s">
        <v>429</v>
      </c>
      <c r="K402" s="24">
        <v>1269</v>
      </c>
      <c r="L402" s="24"/>
      <c r="M402" s="24"/>
      <c r="N402" s="24"/>
      <c r="O402" s="24"/>
      <c r="P402" s="211"/>
      <c r="Q402" s="83"/>
      <c r="R402" s="83"/>
      <c r="S402" s="83"/>
      <c r="T402" s="211"/>
      <c r="U402" s="83"/>
      <c r="V402" s="83">
        <v>270</v>
      </c>
      <c r="W402" s="83">
        <v>1269</v>
      </c>
      <c r="X402" s="167"/>
      <c r="Y402" s="168"/>
      <c r="Z402" s="168"/>
      <c r="AA402" s="168"/>
      <c r="AB402" s="168"/>
      <c r="AC402" s="168"/>
      <c r="AD402" s="168"/>
      <c r="AE402" s="168"/>
    </row>
    <row r="403" spans="1:31" s="141" customFormat="1" x14ac:dyDescent="0.25">
      <c r="A403" s="138">
        <v>27.31</v>
      </c>
      <c r="B403" s="165" t="s">
        <v>412</v>
      </c>
      <c r="C403" s="110">
        <v>2109020</v>
      </c>
      <c r="D403" s="212" t="s">
        <v>265</v>
      </c>
      <c r="E403" s="212"/>
      <c r="F403" s="110">
        <v>796</v>
      </c>
      <c r="G403" s="81" t="s">
        <v>17</v>
      </c>
      <c r="H403" s="129">
        <v>395</v>
      </c>
      <c r="I403" s="151">
        <v>98401</v>
      </c>
      <c r="J403" s="83" t="s">
        <v>429</v>
      </c>
      <c r="K403" s="24">
        <v>948</v>
      </c>
      <c r="L403" s="24"/>
      <c r="M403" s="24"/>
      <c r="N403" s="24"/>
      <c r="O403" s="24"/>
      <c r="P403" s="211"/>
      <c r="Q403" s="83"/>
      <c r="R403" s="83"/>
      <c r="S403" s="83"/>
      <c r="T403" s="211"/>
      <c r="U403" s="83"/>
      <c r="V403" s="83">
        <v>395</v>
      </c>
      <c r="W403" s="83">
        <v>948</v>
      </c>
      <c r="X403" s="167"/>
      <c r="Y403" s="168"/>
      <c r="Z403" s="168"/>
      <c r="AA403" s="168"/>
      <c r="AB403" s="168"/>
      <c r="AC403" s="168"/>
      <c r="AD403" s="168"/>
      <c r="AE403" s="168"/>
    </row>
    <row r="404" spans="1:31" s="141" customFormat="1" x14ac:dyDescent="0.25">
      <c r="A404" s="138">
        <v>27.32</v>
      </c>
      <c r="B404" s="165" t="s">
        <v>412</v>
      </c>
      <c r="C404" s="110">
        <v>2109020</v>
      </c>
      <c r="D404" s="172" t="s">
        <v>266</v>
      </c>
      <c r="E404" s="172"/>
      <c r="F404" s="110">
        <v>796</v>
      </c>
      <c r="G404" s="81" t="s">
        <v>17</v>
      </c>
      <c r="H404" s="129">
        <v>31</v>
      </c>
      <c r="I404" s="151">
        <v>98401</v>
      </c>
      <c r="J404" s="83" t="s">
        <v>429</v>
      </c>
      <c r="K404" s="24">
        <v>3286</v>
      </c>
      <c r="L404" s="24"/>
      <c r="M404" s="24"/>
      <c r="N404" s="24"/>
      <c r="O404" s="24"/>
      <c r="P404" s="211">
        <v>6</v>
      </c>
      <c r="Q404" s="83">
        <v>636</v>
      </c>
      <c r="R404" s="83">
        <v>10</v>
      </c>
      <c r="S404" s="83">
        <v>1060</v>
      </c>
      <c r="T404" s="211"/>
      <c r="U404" s="83"/>
      <c r="V404" s="83">
        <v>15</v>
      </c>
      <c r="W404" s="83">
        <v>1590</v>
      </c>
      <c r="X404" s="167"/>
      <c r="Y404" s="168"/>
      <c r="Z404" s="168"/>
      <c r="AA404" s="168"/>
      <c r="AB404" s="168"/>
      <c r="AC404" s="168"/>
      <c r="AD404" s="168"/>
      <c r="AE404" s="168"/>
    </row>
    <row r="405" spans="1:31" s="141" customFormat="1" x14ac:dyDescent="0.25">
      <c r="A405" s="138">
        <v>27.33</v>
      </c>
      <c r="B405" s="165" t="s">
        <v>412</v>
      </c>
      <c r="C405" s="110">
        <v>2109020</v>
      </c>
      <c r="D405" s="212" t="s">
        <v>267</v>
      </c>
      <c r="E405" s="212"/>
      <c r="F405" s="110">
        <v>796</v>
      </c>
      <c r="G405" s="81" t="s">
        <v>17</v>
      </c>
      <c r="H405" s="129">
        <v>97</v>
      </c>
      <c r="I405" s="151">
        <v>98401</v>
      </c>
      <c r="J405" s="83" t="s">
        <v>429</v>
      </c>
      <c r="K405" s="24">
        <v>2425</v>
      </c>
      <c r="L405" s="24"/>
      <c r="M405" s="24"/>
      <c r="N405" s="24"/>
      <c r="O405" s="24"/>
      <c r="P405" s="211"/>
      <c r="Q405" s="83"/>
      <c r="R405" s="83">
        <v>50</v>
      </c>
      <c r="S405" s="83">
        <v>1250</v>
      </c>
      <c r="T405" s="211"/>
      <c r="U405" s="83"/>
      <c r="V405" s="83">
        <v>47</v>
      </c>
      <c r="W405" s="83">
        <v>1175</v>
      </c>
      <c r="X405" s="167"/>
      <c r="Y405" s="168"/>
      <c r="Z405" s="168"/>
      <c r="AA405" s="168"/>
      <c r="AB405" s="168"/>
      <c r="AC405" s="168"/>
      <c r="AD405" s="168"/>
      <c r="AE405" s="168"/>
    </row>
    <row r="406" spans="1:31" s="141" customFormat="1" x14ac:dyDescent="0.25">
      <c r="A406" s="138">
        <v>27.34</v>
      </c>
      <c r="B406" s="165" t="s">
        <v>412</v>
      </c>
      <c r="C406" s="110">
        <v>2109020</v>
      </c>
      <c r="D406" s="212" t="s">
        <v>268</v>
      </c>
      <c r="E406" s="212"/>
      <c r="F406" s="110">
        <v>796</v>
      </c>
      <c r="G406" s="81" t="s">
        <v>17</v>
      </c>
      <c r="H406" s="129">
        <v>50</v>
      </c>
      <c r="I406" s="151">
        <v>98401</v>
      </c>
      <c r="J406" s="83" t="s">
        <v>429</v>
      </c>
      <c r="K406" s="24">
        <v>2700</v>
      </c>
      <c r="L406" s="24"/>
      <c r="M406" s="24"/>
      <c r="N406" s="24"/>
      <c r="O406" s="24"/>
      <c r="P406" s="211"/>
      <c r="Q406" s="83"/>
      <c r="R406" s="83">
        <v>50</v>
      </c>
      <c r="S406" s="83">
        <v>2700</v>
      </c>
      <c r="T406" s="211"/>
      <c r="U406" s="83"/>
      <c r="V406" s="83">
        <v>0</v>
      </c>
      <c r="W406" s="83">
        <v>0</v>
      </c>
      <c r="X406" s="167"/>
      <c r="Y406" s="168"/>
      <c r="Z406" s="168"/>
      <c r="AA406" s="168"/>
      <c r="AB406" s="168"/>
      <c r="AC406" s="168"/>
      <c r="AD406" s="168"/>
      <c r="AE406" s="168"/>
    </row>
    <row r="407" spans="1:31" s="141" customFormat="1" x14ac:dyDescent="0.25">
      <c r="A407" s="138">
        <v>27.35</v>
      </c>
      <c r="B407" s="165" t="s">
        <v>412</v>
      </c>
      <c r="C407" s="110">
        <v>2109020</v>
      </c>
      <c r="D407" s="212" t="s">
        <v>269</v>
      </c>
      <c r="E407" s="212"/>
      <c r="F407" s="110">
        <v>796</v>
      </c>
      <c r="G407" s="81" t="s">
        <v>17</v>
      </c>
      <c r="H407" s="129">
        <v>88</v>
      </c>
      <c r="I407" s="151">
        <v>98401</v>
      </c>
      <c r="J407" s="83" t="s">
        <v>429</v>
      </c>
      <c r="K407" s="24">
        <v>4752</v>
      </c>
      <c r="L407" s="24"/>
      <c r="M407" s="24"/>
      <c r="N407" s="24"/>
      <c r="O407" s="24"/>
      <c r="P407" s="211"/>
      <c r="Q407" s="83"/>
      <c r="R407" s="83"/>
      <c r="S407" s="83"/>
      <c r="T407" s="211"/>
      <c r="U407" s="83"/>
      <c r="V407" s="83">
        <v>88</v>
      </c>
      <c r="W407" s="83">
        <v>4752</v>
      </c>
      <c r="X407" s="167"/>
      <c r="Y407" s="168"/>
      <c r="Z407" s="168"/>
      <c r="AA407" s="168"/>
      <c r="AB407" s="168"/>
      <c r="AC407" s="168"/>
      <c r="AD407" s="168"/>
      <c r="AE407" s="168"/>
    </row>
    <row r="408" spans="1:31" s="141" customFormat="1" x14ac:dyDescent="0.25">
      <c r="A408" s="138">
        <v>27.36</v>
      </c>
      <c r="B408" s="165" t="s">
        <v>412</v>
      </c>
      <c r="C408" s="110">
        <v>2109020</v>
      </c>
      <c r="D408" s="212" t="s">
        <v>270</v>
      </c>
      <c r="E408" s="212"/>
      <c r="F408" s="110">
        <v>796</v>
      </c>
      <c r="G408" s="81" t="s">
        <v>17</v>
      </c>
      <c r="H408" s="129">
        <v>254</v>
      </c>
      <c r="I408" s="151">
        <v>98401</v>
      </c>
      <c r="J408" s="83" t="s">
        <v>429</v>
      </c>
      <c r="K408" s="24">
        <v>1143</v>
      </c>
      <c r="L408" s="24"/>
      <c r="M408" s="24"/>
      <c r="N408" s="24"/>
      <c r="O408" s="24"/>
      <c r="P408" s="211"/>
      <c r="Q408" s="83"/>
      <c r="R408" s="83">
        <v>50</v>
      </c>
      <c r="S408" s="83">
        <v>225</v>
      </c>
      <c r="T408" s="211">
        <v>50</v>
      </c>
      <c r="U408" s="83">
        <v>250</v>
      </c>
      <c r="V408" s="83">
        <v>154</v>
      </c>
      <c r="W408" s="83">
        <v>668</v>
      </c>
      <c r="X408" s="167"/>
      <c r="Y408" s="168"/>
      <c r="Z408" s="168"/>
      <c r="AA408" s="168"/>
      <c r="AB408" s="168"/>
      <c r="AC408" s="168"/>
      <c r="AD408" s="168"/>
      <c r="AE408" s="168"/>
    </row>
    <row r="409" spans="1:31" s="141" customFormat="1" x14ac:dyDescent="0.25">
      <c r="A409" s="138">
        <v>27.37</v>
      </c>
      <c r="B409" s="165" t="s">
        <v>412</v>
      </c>
      <c r="C409" s="110">
        <v>2109020</v>
      </c>
      <c r="D409" s="212" t="s">
        <v>271</v>
      </c>
      <c r="E409" s="212"/>
      <c r="F409" s="110">
        <v>796</v>
      </c>
      <c r="G409" s="81" t="s">
        <v>17</v>
      </c>
      <c r="H409" s="129">
        <v>2</v>
      </c>
      <c r="I409" s="151">
        <v>98401</v>
      </c>
      <c r="J409" s="83" t="s">
        <v>429</v>
      </c>
      <c r="K409" s="24">
        <v>56</v>
      </c>
      <c r="L409" s="24"/>
      <c r="M409" s="24"/>
      <c r="N409" s="24"/>
      <c r="O409" s="24"/>
      <c r="P409" s="211"/>
      <c r="Q409" s="83"/>
      <c r="R409" s="83"/>
      <c r="S409" s="83"/>
      <c r="T409" s="211"/>
      <c r="U409" s="83"/>
      <c r="V409" s="83">
        <v>2</v>
      </c>
      <c r="W409" s="83">
        <v>56</v>
      </c>
      <c r="X409" s="167"/>
      <c r="Y409" s="168"/>
      <c r="Z409" s="168"/>
      <c r="AA409" s="168"/>
      <c r="AB409" s="168"/>
      <c r="AC409" s="168"/>
      <c r="AD409" s="168"/>
      <c r="AE409" s="168"/>
    </row>
    <row r="410" spans="1:31" s="141" customFormat="1" x14ac:dyDescent="0.25">
      <c r="A410" s="138">
        <v>27.38</v>
      </c>
      <c r="B410" s="165" t="s">
        <v>412</v>
      </c>
      <c r="C410" s="110">
        <v>2109020</v>
      </c>
      <c r="D410" s="212" t="s">
        <v>272</v>
      </c>
      <c r="E410" s="212"/>
      <c r="F410" s="110">
        <v>796</v>
      </c>
      <c r="G410" s="81" t="s">
        <v>17</v>
      </c>
      <c r="H410" s="129">
        <v>19</v>
      </c>
      <c r="I410" s="151">
        <v>98401</v>
      </c>
      <c r="J410" s="83" t="s">
        <v>429</v>
      </c>
      <c r="K410" s="24">
        <v>950</v>
      </c>
      <c r="L410" s="24"/>
      <c r="M410" s="24"/>
      <c r="N410" s="24"/>
      <c r="O410" s="24"/>
      <c r="P410" s="211"/>
      <c r="Q410" s="83"/>
      <c r="R410" s="83"/>
      <c r="S410" s="83"/>
      <c r="T410" s="211"/>
      <c r="U410" s="83"/>
      <c r="V410" s="83">
        <v>19</v>
      </c>
      <c r="W410" s="83">
        <v>950</v>
      </c>
      <c r="X410" s="167"/>
      <c r="Y410" s="168"/>
      <c r="Z410" s="168"/>
      <c r="AA410" s="168"/>
      <c r="AB410" s="168"/>
      <c r="AC410" s="168"/>
      <c r="AD410" s="168"/>
      <c r="AE410" s="168"/>
    </row>
    <row r="411" spans="1:31" s="141" customFormat="1" x14ac:dyDescent="0.25">
      <c r="A411" s="138">
        <v>27.39</v>
      </c>
      <c r="B411" s="165" t="s">
        <v>412</v>
      </c>
      <c r="C411" s="110">
        <v>2109020</v>
      </c>
      <c r="D411" s="212" t="s">
        <v>273</v>
      </c>
      <c r="E411" s="212"/>
      <c r="F411" s="110">
        <v>796</v>
      </c>
      <c r="G411" s="81" t="s">
        <v>17</v>
      </c>
      <c r="H411" s="129">
        <v>2</v>
      </c>
      <c r="I411" s="151">
        <v>98401</v>
      </c>
      <c r="J411" s="83" t="s">
        <v>429</v>
      </c>
      <c r="K411" s="24">
        <v>100</v>
      </c>
      <c r="L411" s="24"/>
      <c r="M411" s="24"/>
      <c r="N411" s="24"/>
      <c r="O411" s="24"/>
      <c r="P411" s="211"/>
      <c r="Q411" s="83"/>
      <c r="R411" s="83"/>
      <c r="S411" s="83"/>
      <c r="T411" s="211"/>
      <c r="U411" s="83"/>
      <c r="V411" s="83">
        <v>2</v>
      </c>
      <c r="W411" s="83">
        <v>100</v>
      </c>
      <c r="X411" s="167"/>
      <c r="Y411" s="168"/>
      <c r="Z411" s="168"/>
      <c r="AA411" s="168"/>
      <c r="AB411" s="168"/>
      <c r="AC411" s="168"/>
      <c r="AD411" s="168"/>
      <c r="AE411" s="168"/>
    </row>
    <row r="412" spans="1:31" s="141" customFormat="1" x14ac:dyDescent="0.25">
      <c r="A412" s="138">
        <v>27.4</v>
      </c>
      <c r="B412" s="165" t="s">
        <v>412</v>
      </c>
      <c r="C412" s="110">
        <v>2109020</v>
      </c>
      <c r="D412" s="212" t="s">
        <v>274</v>
      </c>
      <c r="E412" s="212"/>
      <c r="F412" s="110">
        <v>796</v>
      </c>
      <c r="G412" s="81" t="s">
        <v>17</v>
      </c>
      <c r="H412" s="129">
        <v>30</v>
      </c>
      <c r="I412" s="151">
        <v>98401</v>
      </c>
      <c r="J412" s="83" t="s">
        <v>429</v>
      </c>
      <c r="K412" s="24">
        <v>3723</v>
      </c>
      <c r="L412" s="24"/>
      <c r="M412" s="24"/>
      <c r="N412" s="24"/>
      <c r="O412" s="24"/>
      <c r="P412" s="211"/>
      <c r="Q412" s="83"/>
      <c r="R412" s="83">
        <v>30</v>
      </c>
      <c r="S412" s="83">
        <v>3723</v>
      </c>
      <c r="T412" s="211"/>
      <c r="U412" s="83"/>
      <c r="V412" s="83">
        <v>0</v>
      </c>
      <c r="W412" s="83">
        <v>0</v>
      </c>
      <c r="X412" s="167"/>
      <c r="Y412" s="168"/>
      <c r="Z412" s="168"/>
      <c r="AA412" s="168"/>
      <c r="AB412" s="168"/>
      <c r="AC412" s="168"/>
      <c r="AD412" s="168"/>
      <c r="AE412" s="168"/>
    </row>
    <row r="413" spans="1:31" s="141" customFormat="1" x14ac:dyDescent="0.25">
      <c r="A413" s="138">
        <v>27.41</v>
      </c>
      <c r="B413" s="165" t="s">
        <v>412</v>
      </c>
      <c r="C413" s="110">
        <v>2109020</v>
      </c>
      <c r="D413" s="210" t="s">
        <v>275</v>
      </c>
      <c r="E413" s="210"/>
      <c r="F413" s="110">
        <v>796</v>
      </c>
      <c r="G413" s="81" t="s">
        <v>17</v>
      </c>
      <c r="H413" s="129">
        <v>60</v>
      </c>
      <c r="I413" s="151">
        <v>98401</v>
      </c>
      <c r="J413" s="83" t="s">
        <v>429</v>
      </c>
      <c r="K413" s="24">
        <v>2040</v>
      </c>
      <c r="L413" s="24"/>
      <c r="M413" s="24"/>
      <c r="N413" s="24"/>
      <c r="O413" s="24"/>
      <c r="P413" s="211"/>
      <c r="Q413" s="83"/>
      <c r="R413" s="83">
        <v>60</v>
      </c>
      <c r="S413" s="83">
        <v>2040</v>
      </c>
      <c r="T413" s="211"/>
      <c r="U413" s="83"/>
      <c r="V413" s="83">
        <v>0</v>
      </c>
      <c r="W413" s="83">
        <v>0</v>
      </c>
      <c r="X413" s="167"/>
      <c r="Y413" s="168"/>
      <c r="Z413" s="168"/>
      <c r="AA413" s="168"/>
      <c r="AB413" s="168"/>
      <c r="AC413" s="168"/>
      <c r="AD413" s="168"/>
      <c r="AE413" s="168"/>
    </row>
    <row r="414" spans="1:31" s="141" customFormat="1" x14ac:dyDescent="0.25">
      <c r="A414" s="138">
        <v>27.42</v>
      </c>
      <c r="B414" s="165" t="s">
        <v>412</v>
      </c>
      <c r="C414" s="110">
        <v>2109020</v>
      </c>
      <c r="D414" s="210" t="s">
        <v>276</v>
      </c>
      <c r="E414" s="210"/>
      <c r="F414" s="110">
        <v>796</v>
      </c>
      <c r="G414" s="81" t="s">
        <v>17</v>
      </c>
      <c r="H414" s="129">
        <v>42</v>
      </c>
      <c r="I414" s="151">
        <v>98401</v>
      </c>
      <c r="J414" s="83" t="s">
        <v>429</v>
      </c>
      <c r="K414" s="24">
        <v>1680</v>
      </c>
      <c r="L414" s="24"/>
      <c r="M414" s="24"/>
      <c r="N414" s="24"/>
      <c r="O414" s="24"/>
      <c r="P414" s="211"/>
      <c r="Q414" s="83"/>
      <c r="R414" s="83"/>
      <c r="S414" s="83"/>
      <c r="T414" s="211"/>
      <c r="U414" s="83"/>
      <c r="V414" s="83">
        <v>42</v>
      </c>
      <c r="W414" s="83">
        <v>1680</v>
      </c>
      <c r="X414" s="167"/>
      <c r="Y414" s="168"/>
      <c r="Z414" s="168"/>
      <c r="AA414" s="168"/>
      <c r="AB414" s="168"/>
      <c r="AC414" s="168"/>
      <c r="AD414" s="168"/>
      <c r="AE414" s="168"/>
    </row>
    <row r="415" spans="1:31" s="141" customFormat="1" x14ac:dyDescent="0.25">
      <c r="A415" s="138">
        <v>27.43</v>
      </c>
      <c r="B415" s="165" t="s">
        <v>412</v>
      </c>
      <c r="C415" s="110">
        <v>2109020</v>
      </c>
      <c r="D415" s="210" t="s">
        <v>277</v>
      </c>
      <c r="E415" s="210"/>
      <c r="F415" s="110">
        <v>796</v>
      </c>
      <c r="G415" s="81" t="s">
        <v>17</v>
      </c>
      <c r="H415" s="129">
        <v>24</v>
      </c>
      <c r="I415" s="151">
        <v>98401</v>
      </c>
      <c r="J415" s="83" t="s">
        <v>429</v>
      </c>
      <c r="K415" s="24">
        <v>960</v>
      </c>
      <c r="L415" s="24"/>
      <c r="M415" s="24"/>
      <c r="N415" s="24"/>
      <c r="O415" s="24"/>
      <c r="P415" s="211"/>
      <c r="Q415" s="83"/>
      <c r="R415" s="83"/>
      <c r="S415" s="83"/>
      <c r="T415" s="211"/>
      <c r="U415" s="83"/>
      <c r="V415" s="83">
        <v>24</v>
      </c>
      <c r="W415" s="83">
        <v>960</v>
      </c>
      <c r="X415" s="167"/>
      <c r="Y415" s="168"/>
      <c r="Z415" s="168"/>
      <c r="AA415" s="168"/>
      <c r="AB415" s="168"/>
      <c r="AC415" s="168"/>
      <c r="AD415" s="168"/>
      <c r="AE415" s="168"/>
    </row>
    <row r="416" spans="1:31" s="141" customFormat="1" x14ac:dyDescent="0.25">
      <c r="A416" s="138">
        <v>27.440000000000101</v>
      </c>
      <c r="B416" s="165" t="s">
        <v>412</v>
      </c>
      <c r="C416" s="110">
        <v>2109020</v>
      </c>
      <c r="D416" s="212" t="s">
        <v>278</v>
      </c>
      <c r="E416" s="212"/>
      <c r="F416" s="110">
        <v>796</v>
      </c>
      <c r="G416" s="81" t="s">
        <v>17</v>
      </c>
      <c r="H416" s="129">
        <v>70</v>
      </c>
      <c r="I416" s="151">
        <v>98401</v>
      </c>
      <c r="J416" s="83" t="s">
        <v>429</v>
      </c>
      <c r="K416" s="24">
        <v>11060</v>
      </c>
      <c r="L416" s="24"/>
      <c r="M416" s="24"/>
      <c r="N416" s="24"/>
      <c r="O416" s="24"/>
      <c r="P416" s="211"/>
      <c r="Q416" s="83"/>
      <c r="R416" s="83"/>
      <c r="S416" s="83"/>
      <c r="T416" s="211"/>
      <c r="U416" s="83"/>
      <c r="V416" s="83">
        <v>70</v>
      </c>
      <c r="W416" s="83">
        <v>11060</v>
      </c>
      <c r="X416" s="167"/>
      <c r="Y416" s="168"/>
      <c r="Z416" s="168"/>
      <c r="AA416" s="168"/>
      <c r="AB416" s="168"/>
      <c r="AC416" s="168"/>
      <c r="AD416" s="168"/>
      <c r="AE416" s="168"/>
    </row>
    <row r="417" spans="1:31" s="141" customFormat="1" x14ac:dyDescent="0.25">
      <c r="A417" s="138">
        <v>27.450000000000099</v>
      </c>
      <c r="B417" s="165" t="s">
        <v>412</v>
      </c>
      <c r="C417" s="110">
        <v>2109020</v>
      </c>
      <c r="D417" s="212" t="s">
        <v>279</v>
      </c>
      <c r="E417" s="212"/>
      <c r="F417" s="110">
        <v>796</v>
      </c>
      <c r="G417" s="81" t="s">
        <v>17</v>
      </c>
      <c r="H417" s="129">
        <v>29</v>
      </c>
      <c r="I417" s="151">
        <v>98401</v>
      </c>
      <c r="J417" s="83" t="s">
        <v>429</v>
      </c>
      <c r="K417" s="24">
        <v>1653</v>
      </c>
      <c r="L417" s="24"/>
      <c r="M417" s="24"/>
      <c r="N417" s="24"/>
      <c r="O417" s="24"/>
      <c r="P417" s="211"/>
      <c r="Q417" s="83"/>
      <c r="R417" s="83">
        <v>20</v>
      </c>
      <c r="S417" s="83">
        <v>1140</v>
      </c>
      <c r="T417" s="211"/>
      <c r="U417" s="83"/>
      <c r="V417" s="83">
        <v>9</v>
      </c>
      <c r="W417" s="83">
        <v>513</v>
      </c>
      <c r="X417" s="167"/>
      <c r="Y417" s="168"/>
      <c r="Z417" s="168"/>
      <c r="AA417" s="168"/>
      <c r="AB417" s="168"/>
      <c r="AC417" s="168"/>
      <c r="AD417" s="168"/>
      <c r="AE417" s="168"/>
    </row>
    <row r="418" spans="1:31" s="141" customFormat="1" x14ac:dyDescent="0.25">
      <c r="A418" s="138">
        <v>27.4600000000001</v>
      </c>
      <c r="B418" s="165" t="s">
        <v>412</v>
      </c>
      <c r="C418" s="110">
        <v>2109020</v>
      </c>
      <c r="D418" s="212" t="s">
        <v>280</v>
      </c>
      <c r="E418" s="212"/>
      <c r="F418" s="110">
        <v>796</v>
      </c>
      <c r="G418" s="81" t="s">
        <v>17</v>
      </c>
      <c r="H418" s="129">
        <v>51</v>
      </c>
      <c r="I418" s="151">
        <v>98401</v>
      </c>
      <c r="J418" s="83" t="s">
        <v>429</v>
      </c>
      <c r="K418" s="24">
        <v>1683</v>
      </c>
      <c r="L418" s="24"/>
      <c r="M418" s="24"/>
      <c r="N418" s="24"/>
      <c r="O418" s="24"/>
      <c r="P418" s="211"/>
      <c r="Q418" s="83"/>
      <c r="R418" s="83"/>
      <c r="S418" s="83"/>
      <c r="T418" s="211"/>
      <c r="U418" s="83"/>
      <c r="V418" s="83">
        <v>51</v>
      </c>
      <c r="W418" s="83">
        <v>1683</v>
      </c>
      <c r="X418" s="167"/>
      <c r="Y418" s="168"/>
      <c r="Z418" s="168"/>
      <c r="AA418" s="168"/>
      <c r="AB418" s="168"/>
      <c r="AC418" s="168"/>
      <c r="AD418" s="168"/>
      <c r="AE418" s="168"/>
    </row>
    <row r="419" spans="1:31" s="141" customFormat="1" x14ac:dyDescent="0.25">
      <c r="A419" s="138">
        <v>27.470000000000098</v>
      </c>
      <c r="B419" s="165" t="s">
        <v>412</v>
      </c>
      <c r="C419" s="110">
        <v>2109020</v>
      </c>
      <c r="D419" s="212" t="s">
        <v>281</v>
      </c>
      <c r="E419" s="212"/>
      <c r="F419" s="110">
        <v>796</v>
      </c>
      <c r="G419" s="81" t="s">
        <v>17</v>
      </c>
      <c r="H419" s="129">
        <v>100</v>
      </c>
      <c r="I419" s="151">
        <v>98401</v>
      </c>
      <c r="J419" s="83" t="s">
        <v>429</v>
      </c>
      <c r="K419" s="24">
        <v>65000</v>
      </c>
      <c r="L419" s="24"/>
      <c r="M419" s="24"/>
      <c r="N419" s="24"/>
      <c r="O419" s="24"/>
      <c r="P419" s="211"/>
      <c r="Q419" s="83"/>
      <c r="R419" s="83"/>
      <c r="S419" s="83"/>
      <c r="T419" s="211"/>
      <c r="U419" s="83">
        <v>0</v>
      </c>
      <c r="V419" s="83">
        <v>100</v>
      </c>
      <c r="W419" s="83">
        <v>65000</v>
      </c>
      <c r="X419" s="167"/>
      <c r="Y419" s="168"/>
      <c r="Z419" s="168"/>
      <c r="AA419" s="168"/>
      <c r="AB419" s="168"/>
      <c r="AC419" s="168"/>
      <c r="AD419" s="168"/>
      <c r="AE419" s="168"/>
    </row>
    <row r="420" spans="1:31" s="141" customFormat="1" x14ac:dyDescent="0.25">
      <c r="A420" s="138">
        <v>27.4800000000001</v>
      </c>
      <c r="B420" s="165" t="s">
        <v>412</v>
      </c>
      <c r="C420" s="110">
        <v>2109020</v>
      </c>
      <c r="D420" s="212" t="s">
        <v>282</v>
      </c>
      <c r="E420" s="212"/>
      <c r="F420" s="110">
        <v>796</v>
      </c>
      <c r="G420" s="81" t="s">
        <v>17</v>
      </c>
      <c r="H420" s="129">
        <v>101</v>
      </c>
      <c r="I420" s="151">
        <v>98401</v>
      </c>
      <c r="J420" s="83" t="s">
        <v>429</v>
      </c>
      <c r="K420" s="24">
        <v>55550</v>
      </c>
      <c r="L420" s="24"/>
      <c r="M420" s="24"/>
      <c r="N420" s="24"/>
      <c r="O420" s="24"/>
      <c r="P420" s="211"/>
      <c r="Q420" s="83"/>
      <c r="R420" s="83"/>
      <c r="S420" s="83"/>
      <c r="T420" s="211"/>
      <c r="U420" s="83"/>
      <c r="V420" s="83">
        <v>101</v>
      </c>
      <c r="W420" s="83">
        <v>55550</v>
      </c>
      <c r="X420" s="167"/>
      <c r="Y420" s="168"/>
      <c r="Z420" s="168"/>
      <c r="AA420" s="168"/>
      <c r="AB420" s="168"/>
      <c r="AC420" s="168"/>
      <c r="AD420" s="168"/>
      <c r="AE420" s="168"/>
    </row>
    <row r="421" spans="1:31" s="141" customFormat="1" x14ac:dyDescent="0.25">
      <c r="A421" s="138">
        <v>27.490000000000101</v>
      </c>
      <c r="B421" s="165" t="s">
        <v>412</v>
      </c>
      <c r="C421" s="110">
        <v>2109020</v>
      </c>
      <c r="D421" s="210" t="s">
        <v>283</v>
      </c>
      <c r="E421" s="210"/>
      <c r="F421" s="110">
        <v>796</v>
      </c>
      <c r="G421" s="81" t="s">
        <v>17</v>
      </c>
      <c r="H421" s="129">
        <v>17</v>
      </c>
      <c r="I421" s="151">
        <v>98401</v>
      </c>
      <c r="J421" s="83" t="s">
        <v>429</v>
      </c>
      <c r="K421" s="24">
        <v>11900</v>
      </c>
      <c r="L421" s="24"/>
      <c r="M421" s="24"/>
      <c r="N421" s="24"/>
      <c r="O421" s="24"/>
      <c r="P421" s="211"/>
      <c r="Q421" s="83"/>
      <c r="R421" s="83"/>
      <c r="S421" s="83"/>
      <c r="T421" s="211"/>
      <c r="U421" s="83"/>
      <c r="V421" s="83">
        <v>17</v>
      </c>
      <c r="W421" s="83">
        <v>11900</v>
      </c>
      <c r="X421" s="167"/>
      <c r="Y421" s="168"/>
      <c r="Z421" s="168"/>
      <c r="AA421" s="168"/>
      <c r="AB421" s="168"/>
      <c r="AC421" s="168"/>
      <c r="AD421" s="168"/>
      <c r="AE421" s="168"/>
    </row>
    <row r="422" spans="1:31" s="141" customFormat="1" x14ac:dyDescent="0.25">
      <c r="A422" s="138">
        <v>27.500000000000099</v>
      </c>
      <c r="B422" s="165" t="s">
        <v>412</v>
      </c>
      <c r="C422" s="110">
        <v>2109020</v>
      </c>
      <c r="D422" s="210" t="s">
        <v>284</v>
      </c>
      <c r="E422" s="210"/>
      <c r="F422" s="110">
        <v>796</v>
      </c>
      <c r="G422" s="81" t="s">
        <v>17</v>
      </c>
      <c r="H422" s="129">
        <v>17</v>
      </c>
      <c r="I422" s="151">
        <v>98401</v>
      </c>
      <c r="J422" s="83" t="s">
        <v>429</v>
      </c>
      <c r="K422" s="24">
        <v>11050</v>
      </c>
      <c r="L422" s="24"/>
      <c r="M422" s="24"/>
      <c r="N422" s="24"/>
      <c r="O422" s="24"/>
      <c r="P422" s="211"/>
      <c r="Q422" s="83"/>
      <c r="R422" s="83"/>
      <c r="S422" s="83"/>
      <c r="T422" s="211"/>
      <c r="U422" s="83"/>
      <c r="V422" s="83">
        <v>17</v>
      </c>
      <c r="W422" s="83">
        <v>11050</v>
      </c>
      <c r="X422" s="167"/>
      <c r="Y422" s="168"/>
      <c r="Z422" s="168"/>
      <c r="AA422" s="168"/>
      <c r="AB422" s="168"/>
      <c r="AC422" s="168"/>
      <c r="AD422" s="168"/>
      <c r="AE422" s="168"/>
    </row>
    <row r="423" spans="1:31" s="141" customFormat="1" x14ac:dyDescent="0.25">
      <c r="A423" s="138">
        <v>27.510000000000101</v>
      </c>
      <c r="B423" s="165" t="s">
        <v>412</v>
      </c>
      <c r="C423" s="110">
        <v>2109020</v>
      </c>
      <c r="D423" s="212" t="s">
        <v>285</v>
      </c>
      <c r="E423" s="212"/>
      <c r="F423" s="110">
        <v>796</v>
      </c>
      <c r="G423" s="81" t="s">
        <v>17</v>
      </c>
      <c r="H423" s="129">
        <v>1200</v>
      </c>
      <c r="I423" s="151">
        <v>98401</v>
      </c>
      <c r="J423" s="83" t="s">
        <v>429</v>
      </c>
      <c r="K423" s="24">
        <v>10800</v>
      </c>
      <c r="L423" s="24"/>
      <c r="M423" s="24"/>
      <c r="N423" s="24"/>
      <c r="O423" s="24"/>
      <c r="P423" s="211"/>
      <c r="Q423" s="83"/>
      <c r="R423" s="83">
        <v>1000</v>
      </c>
      <c r="S423" s="83">
        <v>9000</v>
      </c>
      <c r="T423" s="211"/>
      <c r="U423" s="83"/>
      <c r="V423" s="83">
        <v>200</v>
      </c>
      <c r="W423" s="83">
        <v>1800</v>
      </c>
      <c r="X423" s="167"/>
      <c r="Y423" s="168"/>
      <c r="Z423" s="168"/>
      <c r="AA423" s="168"/>
      <c r="AB423" s="168"/>
      <c r="AC423" s="168"/>
      <c r="AD423" s="168"/>
      <c r="AE423" s="168"/>
    </row>
    <row r="424" spans="1:31" s="141" customFormat="1" x14ac:dyDescent="0.25">
      <c r="A424" s="138">
        <v>27.520000000000099</v>
      </c>
      <c r="B424" s="165" t="s">
        <v>412</v>
      </c>
      <c r="C424" s="110">
        <v>2109020</v>
      </c>
      <c r="D424" s="212" t="s">
        <v>286</v>
      </c>
      <c r="E424" s="212"/>
      <c r="F424" s="110">
        <v>796</v>
      </c>
      <c r="G424" s="81" t="s">
        <v>17</v>
      </c>
      <c r="H424" s="129">
        <v>4000</v>
      </c>
      <c r="I424" s="151">
        <v>98401</v>
      </c>
      <c r="J424" s="83" t="s">
        <v>429</v>
      </c>
      <c r="K424" s="24">
        <v>36000</v>
      </c>
      <c r="L424" s="24"/>
      <c r="M424" s="24"/>
      <c r="N424" s="24"/>
      <c r="O424" s="24"/>
      <c r="P424" s="211"/>
      <c r="Q424" s="83"/>
      <c r="R424" s="83">
        <v>4000</v>
      </c>
      <c r="S424" s="83">
        <v>36000</v>
      </c>
      <c r="T424" s="211"/>
      <c r="U424" s="83"/>
      <c r="V424" s="83">
        <v>0</v>
      </c>
      <c r="W424" s="83">
        <v>0</v>
      </c>
      <c r="X424" s="167"/>
      <c r="Y424" s="168"/>
      <c r="Z424" s="168"/>
      <c r="AA424" s="168"/>
      <c r="AB424" s="168"/>
      <c r="AC424" s="168"/>
      <c r="AD424" s="168"/>
      <c r="AE424" s="168"/>
    </row>
    <row r="425" spans="1:31" s="141" customFormat="1" x14ac:dyDescent="0.25">
      <c r="A425" s="138">
        <v>27.530000000000101</v>
      </c>
      <c r="B425" s="165" t="s">
        <v>412</v>
      </c>
      <c r="C425" s="110">
        <v>2109020</v>
      </c>
      <c r="D425" s="212" t="s">
        <v>287</v>
      </c>
      <c r="E425" s="212"/>
      <c r="F425" s="110">
        <v>796</v>
      </c>
      <c r="G425" s="81" t="s">
        <v>17</v>
      </c>
      <c r="H425" s="129">
        <v>138</v>
      </c>
      <c r="I425" s="151">
        <v>98401</v>
      </c>
      <c r="J425" s="83" t="s">
        <v>429</v>
      </c>
      <c r="K425" s="24">
        <v>10350</v>
      </c>
      <c r="L425" s="24"/>
      <c r="M425" s="24"/>
      <c r="N425" s="24"/>
      <c r="O425" s="24"/>
      <c r="P425" s="211"/>
      <c r="Q425" s="83"/>
      <c r="R425" s="83">
        <v>100</v>
      </c>
      <c r="S425" s="83">
        <v>7500</v>
      </c>
      <c r="T425" s="211"/>
      <c r="U425" s="83"/>
      <c r="V425" s="83">
        <v>38</v>
      </c>
      <c r="W425" s="83">
        <v>2850</v>
      </c>
      <c r="X425" s="167"/>
      <c r="Y425" s="168"/>
      <c r="Z425" s="168"/>
      <c r="AA425" s="168"/>
      <c r="AB425" s="168"/>
      <c r="AC425" s="168"/>
      <c r="AD425" s="168"/>
      <c r="AE425" s="168"/>
    </row>
    <row r="426" spans="1:31" s="141" customFormat="1" x14ac:dyDescent="0.25">
      <c r="A426" s="138">
        <v>27.540000000000099</v>
      </c>
      <c r="B426" s="165" t="s">
        <v>412</v>
      </c>
      <c r="C426" s="110">
        <v>2109020</v>
      </c>
      <c r="D426" s="212" t="s">
        <v>288</v>
      </c>
      <c r="E426" s="212"/>
      <c r="F426" s="110">
        <v>796</v>
      </c>
      <c r="G426" s="81" t="s">
        <v>17</v>
      </c>
      <c r="H426" s="129">
        <v>180</v>
      </c>
      <c r="I426" s="151">
        <v>98401</v>
      </c>
      <c r="J426" s="83" t="s">
        <v>429</v>
      </c>
      <c r="K426" s="24">
        <v>13500</v>
      </c>
      <c r="L426" s="24"/>
      <c r="M426" s="24"/>
      <c r="N426" s="24"/>
      <c r="O426" s="24"/>
      <c r="P426" s="211"/>
      <c r="Q426" s="83"/>
      <c r="R426" s="83">
        <v>150</v>
      </c>
      <c r="S426" s="83">
        <v>11250</v>
      </c>
      <c r="T426" s="211"/>
      <c r="U426" s="83"/>
      <c r="V426" s="83">
        <v>30</v>
      </c>
      <c r="W426" s="83">
        <v>2250</v>
      </c>
      <c r="X426" s="167"/>
      <c r="Y426" s="168"/>
      <c r="Z426" s="168"/>
      <c r="AA426" s="168"/>
      <c r="AB426" s="168"/>
      <c r="AC426" s="168"/>
      <c r="AD426" s="168"/>
      <c r="AE426" s="168"/>
    </row>
    <row r="427" spans="1:31" s="141" customFormat="1" x14ac:dyDescent="0.25">
      <c r="A427" s="138">
        <v>27.5500000000001</v>
      </c>
      <c r="B427" s="165" t="s">
        <v>412</v>
      </c>
      <c r="C427" s="110">
        <v>2109020</v>
      </c>
      <c r="D427" s="210" t="s">
        <v>289</v>
      </c>
      <c r="E427" s="210"/>
      <c r="F427" s="110">
        <v>796</v>
      </c>
      <c r="G427" s="81" t="s">
        <v>17</v>
      </c>
      <c r="H427" s="129">
        <v>20</v>
      </c>
      <c r="I427" s="151">
        <v>98401</v>
      </c>
      <c r="J427" s="83" t="s">
        <v>429</v>
      </c>
      <c r="K427" s="24">
        <v>2000</v>
      </c>
      <c r="L427" s="24"/>
      <c r="M427" s="24"/>
      <c r="N427" s="24"/>
      <c r="O427" s="24"/>
      <c r="P427" s="211"/>
      <c r="Q427" s="83"/>
      <c r="R427" s="83">
        <v>20</v>
      </c>
      <c r="S427" s="83">
        <v>2000</v>
      </c>
      <c r="T427" s="211"/>
      <c r="U427" s="83"/>
      <c r="V427" s="83">
        <v>0</v>
      </c>
      <c r="W427" s="83">
        <v>0</v>
      </c>
      <c r="X427" s="167"/>
      <c r="Y427" s="168"/>
      <c r="Z427" s="168"/>
      <c r="AA427" s="168"/>
      <c r="AB427" s="168"/>
      <c r="AC427" s="168"/>
      <c r="AD427" s="168"/>
      <c r="AE427" s="168"/>
    </row>
    <row r="428" spans="1:31" s="141" customFormat="1" x14ac:dyDescent="0.25">
      <c r="A428" s="138">
        <v>27.560000000000102</v>
      </c>
      <c r="B428" s="165" t="s">
        <v>412</v>
      </c>
      <c r="C428" s="110">
        <v>2109020</v>
      </c>
      <c r="D428" s="212" t="s">
        <v>290</v>
      </c>
      <c r="E428" s="212"/>
      <c r="F428" s="110">
        <v>796</v>
      </c>
      <c r="G428" s="81" t="s">
        <v>17</v>
      </c>
      <c r="H428" s="129">
        <v>15900</v>
      </c>
      <c r="I428" s="151">
        <v>98401</v>
      </c>
      <c r="J428" s="83" t="s">
        <v>429</v>
      </c>
      <c r="K428" s="24">
        <v>19080</v>
      </c>
      <c r="L428" s="24"/>
      <c r="M428" s="24"/>
      <c r="N428" s="24"/>
      <c r="O428" s="24"/>
      <c r="P428" s="211"/>
      <c r="Q428" s="83"/>
      <c r="R428" s="83">
        <v>6000</v>
      </c>
      <c r="S428" s="83">
        <v>7200</v>
      </c>
      <c r="T428" s="211">
        <v>3000</v>
      </c>
      <c r="U428" s="83">
        <v>3600</v>
      </c>
      <c r="V428" s="83">
        <v>6900</v>
      </c>
      <c r="W428" s="83">
        <v>8280</v>
      </c>
      <c r="X428" s="167"/>
      <c r="Y428" s="168"/>
      <c r="Z428" s="168"/>
      <c r="AA428" s="168"/>
      <c r="AB428" s="168"/>
      <c r="AC428" s="168"/>
      <c r="AD428" s="168"/>
      <c r="AE428" s="168"/>
    </row>
    <row r="429" spans="1:31" s="141" customFormat="1" x14ac:dyDescent="0.25">
      <c r="A429" s="138">
        <v>27.5700000000001</v>
      </c>
      <c r="B429" s="165" t="s">
        <v>412</v>
      </c>
      <c r="C429" s="110">
        <v>2109020</v>
      </c>
      <c r="D429" s="212" t="s">
        <v>291</v>
      </c>
      <c r="E429" s="212"/>
      <c r="F429" s="110">
        <v>796</v>
      </c>
      <c r="G429" s="81" t="s">
        <v>17</v>
      </c>
      <c r="H429" s="129">
        <v>7</v>
      </c>
      <c r="I429" s="151">
        <v>98401</v>
      </c>
      <c r="J429" s="83" t="s">
        <v>429</v>
      </c>
      <c r="K429" s="24">
        <v>805</v>
      </c>
      <c r="L429" s="24"/>
      <c r="M429" s="24"/>
      <c r="N429" s="24"/>
      <c r="O429" s="24"/>
      <c r="P429" s="211"/>
      <c r="Q429" s="83"/>
      <c r="R429" s="83"/>
      <c r="S429" s="83"/>
      <c r="T429" s="211"/>
      <c r="U429" s="83"/>
      <c r="V429" s="83">
        <v>7</v>
      </c>
      <c r="W429" s="83">
        <v>805</v>
      </c>
      <c r="X429" s="167"/>
      <c r="Y429" s="168"/>
      <c r="Z429" s="168"/>
      <c r="AA429" s="168"/>
      <c r="AB429" s="168"/>
      <c r="AC429" s="168"/>
      <c r="AD429" s="168"/>
      <c r="AE429" s="168"/>
    </row>
    <row r="430" spans="1:31" s="141" customFormat="1" x14ac:dyDescent="0.25">
      <c r="A430" s="138">
        <v>27.580000000000101</v>
      </c>
      <c r="B430" s="165" t="s">
        <v>412</v>
      </c>
      <c r="C430" s="110">
        <v>2109020</v>
      </c>
      <c r="D430" s="212" t="s">
        <v>292</v>
      </c>
      <c r="E430" s="212"/>
      <c r="F430" s="110">
        <v>796</v>
      </c>
      <c r="G430" s="81" t="s">
        <v>17</v>
      </c>
      <c r="H430" s="129">
        <v>17</v>
      </c>
      <c r="I430" s="151">
        <v>98401</v>
      </c>
      <c r="J430" s="83" t="s">
        <v>429</v>
      </c>
      <c r="K430" s="24">
        <v>2057</v>
      </c>
      <c r="L430" s="24"/>
      <c r="M430" s="24"/>
      <c r="N430" s="24"/>
      <c r="O430" s="24"/>
      <c r="P430" s="211"/>
      <c r="Q430" s="83"/>
      <c r="R430" s="83"/>
      <c r="S430" s="83"/>
      <c r="T430" s="211"/>
      <c r="U430" s="83"/>
      <c r="V430" s="83">
        <v>17</v>
      </c>
      <c r="W430" s="83">
        <v>2057</v>
      </c>
      <c r="X430" s="167"/>
      <c r="Y430" s="168"/>
      <c r="Z430" s="168"/>
      <c r="AA430" s="168"/>
      <c r="AB430" s="168"/>
      <c r="AC430" s="168"/>
      <c r="AD430" s="168"/>
      <c r="AE430" s="168"/>
    </row>
    <row r="431" spans="1:31" s="141" customFormat="1" x14ac:dyDescent="0.25">
      <c r="A431" s="138">
        <v>27.590000000000099</v>
      </c>
      <c r="B431" s="165" t="s">
        <v>412</v>
      </c>
      <c r="C431" s="110">
        <v>2109020</v>
      </c>
      <c r="D431" s="212" t="s">
        <v>293</v>
      </c>
      <c r="E431" s="212"/>
      <c r="F431" s="110">
        <v>796</v>
      </c>
      <c r="G431" s="81" t="s">
        <v>17</v>
      </c>
      <c r="H431" s="129">
        <v>6</v>
      </c>
      <c r="I431" s="151">
        <v>98401</v>
      </c>
      <c r="J431" s="83" t="s">
        <v>429</v>
      </c>
      <c r="K431" s="24">
        <v>150</v>
      </c>
      <c r="L431" s="24"/>
      <c r="M431" s="24"/>
      <c r="N431" s="24"/>
      <c r="O431" s="24"/>
      <c r="P431" s="211"/>
      <c r="Q431" s="83"/>
      <c r="R431" s="83"/>
      <c r="S431" s="83"/>
      <c r="T431" s="211"/>
      <c r="U431" s="83"/>
      <c r="V431" s="83">
        <v>6</v>
      </c>
      <c r="W431" s="83">
        <v>150</v>
      </c>
      <c r="X431" s="167"/>
      <c r="Y431" s="168"/>
      <c r="Z431" s="168"/>
      <c r="AA431" s="168"/>
      <c r="AB431" s="168"/>
      <c r="AC431" s="168"/>
      <c r="AD431" s="168"/>
      <c r="AE431" s="168"/>
    </row>
    <row r="432" spans="1:31" s="141" customFormat="1" x14ac:dyDescent="0.25">
      <c r="A432" s="138">
        <v>27.600000000000101</v>
      </c>
      <c r="B432" s="165" t="s">
        <v>412</v>
      </c>
      <c r="C432" s="110">
        <v>2109020</v>
      </c>
      <c r="D432" s="172" t="s">
        <v>294</v>
      </c>
      <c r="E432" s="172"/>
      <c r="F432" s="110">
        <v>796</v>
      </c>
      <c r="G432" s="81" t="s">
        <v>17</v>
      </c>
      <c r="H432" s="129">
        <v>18</v>
      </c>
      <c r="I432" s="151">
        <v>98401</v>
      </c>
      <c r="J432" s="83" t="s">
        <v>429</v>
      </c>
      <c r="K432" s="24">
        <v>450</v>
      </c>
      <c r="L432" s="24"/>
      <c r="M432" s="24"/>
      <c r="N432" s="24"/>
      <c r="O432" s="24"/>
      <c r="P432" s="211"/>
      <c r="Q432" s="83"/>
      <c r="R432" s="83"/>
      <c r="S432" s="83"/>
      <c r="T432" s="211"/>
      <c r="U432" s="83"/>
      <c r="V432" s="83">
        <v>18</v>
      </c>
      <c r="W432" s="83">
        <v>450</v>
      </c>
      <c r="X432" s="167"/>
      <c r="Y432" s="168"/>
      <c r="Z432" s="168"/>
      <c r="AA432" s="168"/>
      <c r="AB432" s="168"/>
      <c r="AC432" s="168"/>
      <c r="AD432" s="168"/>
      <c r="AE432" s="168"/>
    </row>
    <row r="433" spans="1:31" s="141" customFormat="1" x14ac:dyDescent="0.25">
      <c r="A433" s="138">
        <v>27.610000000000099</v>
      </c>
      <c r="B433" s="165" t="s">
        <v>412</v>
      </c>
      <c r="C433" s="110">
        <v>2109020</v>
      </c>
      <c r="D433" s="172" t="s">
        <v>295</v>
      </c>
      <c r="E433" s="172"/>
      <c r="F433" s="110">
        <v>796</v>
      </c>
      <c r="G433" s="81" t="s">
        <v>17</v>
      </c>
      <c r="H433" s="129">
        <v>106</v>
      </c>
      <c r="I433" s="151">
        <v>98401</v>
      </c>
      <c r="J433" s="83" t="s">
        <v>429</v>
      </c>
      <c r="K433" s="24">
        <v>5300</v>
      </c>
      <c r="L433" s="24"/>
      <c r="M433" s="24"/>
      <c r="N433" s="24"/>
      <c r="O433" s="24"/>
      <c r="P433" s="211"/>
      <c r="Q433" s="83"/>
      <c r="R433" s="83"/>
      <c r="S433" s="83"/>
      <c r="T433" s="211">
        <v>50</v>
      </c>
      <c r="U433" s="83">
        <v>2500</v>
      </c>
      <c r="V433" s="83">
        <v>56</v>
      </c>
      <c r="W433" s="83">
        <v>2800</v>
      </c>
      <c r="X433" s="167"/>
      <c r="Y433" s="168"/>
      <c r="Z433" s="168"/>
      <c r="AA433" s="168"/>
      <c r="AB433" s="168"/>
      <c r="AC433" s="168"/>
      <c r="AD433" s="168"/>
      <c r="AE433" s="168"/>
    </row>
    <row r="434" spans="1:31" s="141" customFormat="1" x14ac:dyDescent="0.25">
      <c r="A434" s="138">
        <v>27.6200000000001</v>
      </c>
      <c r="B434" s="165" t="s">
        <v>412</v>
      </c>
      <c r="C434" s="110">
        <v>2109020</v>
      </c>
      <c r="D434" s="212" t="s">
        <v>296</v>
      </c>
      <c r="E434" s="212"/>
      <c r="F434" s="110">
        <v>796</v>
      </c>
      <c r="G434" s="81" t="s">
        <v>17</v>
      </c>
      <c r="H434" s="129">
        <v>47</v>
      </c>
      <c r="I434" s="151">
        <v>98401</v>
      </c>
      <c r="J434" s="83" t="s">
        <v>429</v>
      </c>
      <c r="K434" s="24">
        <v>1034</v>
      </c>
      <c r="L434" s="24"/>
      <c r="M434" s="24"/>
      <c r="N434" s="24"/>
      <c r="O434" s="24"/>
      <c r="P434" s="211"/>
      <c r="Q434" s="83"/>
      <c r="R434" s="83"/>
      <c r="S434" s="83"/>
      <c r="T434" s="211"/>
      <c r="U434" s="83"/>
      <c r="V434" s="83">
        <v>47</v>
      </c>
      <c r="W434" s="83">
        <v>1034</v>
      </c>
      <c r="X434" s="167"/>
      <c r="Y434" s="168"/>
      <c r="Z434" s="168"/>
      <c r="AA434" s="168"/>
      <c r="AB434" s="168"/>
      <c r="AC434" s="168"/>
      <c r="AD434" s="168"/>
      <c r="AE434" s="168"/>
    </row>
    <row r="435" spans="1:31" s="141" customFormat="1" x14ac:dyDescent="0.25">
      <c r="A435" s="138">
        <v>27.630000000000098</v>
      </c>
      <c r="B435" s="165" t="s">
        <v>412</v>
      </c>
      <c r="C435" s="110">
        <v>2109020</v>
      </c>
      <c r="D435" s="212" t="s">
        <v>297</v>
      </c>
      <c r="E435" s="212"/>
      <c r="F435" s="110">
        <v>796</v>
      </c>
      <c r="G435" s="81" t="s">
        <v>17</v>
      </c>
      <c r="H435" s="129">
        <v>11</v>
      </c>
      <c r="I435" s="151">
        <v>98401</v>
      </c>
      <c r="J435" s="83" t="s">
        <v>429</v>
      </c>
      <c r="K435" s="24">
        <v>242</v>
      </c>
      <c r="L435" s="24"/>
      <c r="M435" s="24"/>
      <c r="N435" s="24"/>
      <c r="O435" s="24"/>
      <c r="P435" s="211"/>
      <c r="Q435" s="83"/>
      <c r="R435" s="83"/>
      <c r="S435" s="83"/>
      <c r="T435" s="211"/>
      <c r="U435" s="83"/>
      <c r="V435" s="83">
        <v>11</v>
      </c>
      <c r="W435" s="83">
        <v>242</v>
      </c>
      <c r="X435" s="167"/>
      <c r="Y435" s="168"/>
      <c r="Z435" s="168"/>
      <c r="AA435" s="168"/>
      <c r="AB435" s="168"/>
      <c r="AC435" s="168"/>
      <c r="AD435" s="168"/>
      <c r="AE435" s="168"/>
    </row>
    <row r="436" spans="1:31" s="141" customFormat="1" x14ac:dyDescent="0.25">
      <c r="A436" s="138">
        <v>27.6400000000001</v>
      </c>
      <c r="B436" s="165" t="s">
        <v>412</v>
      </c>
      <c r="C436" s="110">
        <v>2109020</v>
      </c>
      <c r="D436" s="212" t="s">
        <v>298</v>
      </c>
      <c r="E436" s="212"/>
      <c r="F436" s="110">
        <v>796</v>
      </c>
      <c r="G436" s="81" t="s">
        <v>17</v>
      </c>
      <c r="H436" s="129">
        <v>50</v>
      </c>
      <c r="I436" s="151">
        <v>98401</v>
      </c>
      <c r="J436" s="83" t="s">
        <v>429</v>
      </c>
      <c r="K436" s="24">
        <v>1200</v>
      </c>
      <c r="L436" s="24"/>
      <c r="M436" s="24"/>
      <c r="N436" s="24"/>
      <c r="O436" s="24"/>
      <c r="P436" s="211"/>
      <c r="Q436" s="83"/>
      <c r="R436" s="83">
        <v>50</v>
      </c>
      <c r="S436" s="83">
        <v>1200</v>
      </c>
      <c r="T436" s="211"/>
      <c r="U436" s="83"/>
      <c r="V436" s="83">
        <v>0</v>
      </c>
      <c r="W436" s="83">
        <v>0</v>
      </c>
      <c r="X436" s="167"/>
      <c r="Y436" s="168"/>
      <c r="Z436" s="168"/>
      <c r="AA436" s="168"/>
      <c r="AB436" s="168"/>
      <c r="AC436" s="168"/>
      <c r="AD436" s="168"/>
      <c r="AE436" s="168"/>
    </row>
    <row r="437" spans="1:31" s="141" customFormat="1" x14ac:dyDescent="0.25">
      <c r="A437" s="138">
        <v>27.650000000000102</v>
      </c>
      <c r="B437" s="165" t="s">
        <v>412</v>
      </c>
      <c r="C437" s="110">
        <v>2109020</v>
      </c>
      <c r="D437" s="212" t="s">
        <v>299</v>
      </c>
      <c r="E437" s="212"/>
      <c r="F437" s="110">
        <v>796</v>
      </c>
      <c r="G437" s="81" t="s">
        <v>17</v>
      </c>
      <c r="H437" s="129">
        <v>928</v>
      </c>
      <c r="I437" s="151">
        <v>98401</v>
      </c>
      <c r="J437" s="83" t="s">
        <v>429</v>
      </c>
      <c r="K437" s="24">
        <v>7424</v>
      </c>
      <c r="L437" s="24"/>
      <c r="M437" s="24"/>
      <c r="N437" s="24"/>
      <c r="O437" s="24"/>
      <c r="P437" s="211"/>
      <c r="Q437" s="83"/>
      <c r="R437" s="83">
        <v>300</v>
      </c>
      <c r="S437" s="83">
        <v>2400</v>
      </c>
      <c r="T437" s="211">
        <v>300</v>
      </c>
      <c r="U437" s="83">
        <v>2400</v>
      </c>
      <c r="V437" s="83">
        <v>328</v>
      </c>
      <c r="W437" s="83">
        <v>2624</v>
      </c>
      <c r="X437" s="167"/>
      <c r="Y437" s="168"/>
      <c r="Z437" s="168"/>
      <c r="AA437" s="168"/>
      <c r="AB437" s="168"/>
      <c r="AC437" s="168"/>
      <c r="AD437" s="168"/>
      <c r="AE437" s="168"/>
    </row>
    <row r="438" spans="1:31" s="141" customFormat="1" x14ac:dyDescent="0.25">
      <c r="A438" s="138">
        <v>27.6600000000001</v>
      </c>
      <c r="B438" s="165" t="s">
        <v>412</v>
      </c>
      <c r="C438" s="110">
        <v>2109020</v>
      </c>
      <c r="D438" s="212" t="s">
        <v>300</v>
      </c>
      <c r="E438" s="212"/>
      <c r="F438" s="110">
        <v>796</v>
      </c>
      <c r="G438" s="81" t="s">
        <v>17</v>
      </c>
      <c r="H438" s="129">
        <v>10</v>
      </c>
      <c r="I438" s="151">
        <v>98401</v>
      </c>
      <c r="J438" s="83" t="s">
        <v>429</v>
      </c>
      <c r="K438" s="24">
        <v>80</v>
      </c>
      <c r="L438" s="24"/>
      <c r="M438" s="24"/>
      <c r="N438" s="24"/>
      <c r="O438" s="24"/>
      <c r="P438" s="211"/>
      <c r="Q438" s="83"/>
      <c r="R438" s="83"/>
      <c r="S438" s="83"/>
      <c r="T438" s="211"/>
      <c r="U438" s="83"/>
      <c r="V438" s="83">
        <v>10</v>
      </c>
      <c r="W438" s="83">
        <v>80</v>
      </c>
      <c r="X438" s="167"/>
      <c r="Y438" s="168"/>
      <c r="Z438" s="168"/>
      <c r="AA438" s="168"/>
      <c r="AB438" s="168"/>
      <c r="AC438" s="168"/>
      <c r="AD438" s="168"/>
      <c r="AE438" s="168"/>
    </row>
    <row r="439" spans="1:31" s="141" customFormat="1" x14ac:dyDescent="0.25">
      <c r="A439" s="138">
        <v>27.670000000000101</v>
      </c>
      <c r="B439" s="165" t="s">
        <v>412</v>
      </c>
      <c r="C439" s="110">
        <v>2109020</v>
      </c>
      <c r="D439" s="212" t="s">
        <v>301</v>
      </c>
      <c r="E439" s="212"/>
      <c r="F439" s="110">
        <v>796</v>
      </c>
      <c r="G439" s="81" t="s">
        <v>17</v>
      </c>
      <c r="H439" s="129">
        <v>50</v>
      </c>
      <c r="I439" s="151">
        <v>98401</v>
      </c>
      <c r="J439" s="83" t="s">
        <v>429</v>
      </c>
      <c r="K439" s="24">
        <v>2400</v>
      </c>
      <c r="L439" s="24"/>
      <c r="M439" s="24"/>
      <c r="N439" s="24"/>
      <c r="O439" s="24"/>
      <c r="P439" s="211"/>
      <c r="Q439" s="83"/>
      <c r="R439" s="83">
        <v>50</v>
      </c>
      <c r="S439" s="83">
        <v>2400</v>
      </c>
      <c r="T439" s="211"/>
      <c r="U439" s="83"/>
      <c r="V439" s="83">
        <v>0</v>
      </c>
      <c r="W439" s="83">
        <v>0</v>
      </c>
      <c r="X439" s="167"/>
      <c r="Y439" s="168"/>
      <c r="Z439" s="168"/>
      <c r="AA439" s="168"/>
      <c r="AB439" s="168"/>
      <c r="AC439" s="168"/>
      <c r="AD439" s="168"/>
      <c r="AE439" s="168"/>
    </row>
    <row r="440" spans="1:31" s="141" customFormat="1" x14ac:dyDescent="0.25">
      <c r="A440" s="138">
        <v>27.680000000000099</v>
      </c>
      <c r="B440" s="165" t="s">
        <v>412</v>
      </c>
      <c r="C440" s="110">
        <v>2109020</v>
      </c>
      <c r="D440" s="212" t="s">
        <v>302</v>
      </c>
      <c r="E440" s="212"/>
      <c r="F440" s="110">
        <v>796</v>
      </c>
      <c r="G440" s="81" t="s">
        <v>17</v>
      </c>
      <c r="H440" s="129">
        <v>14</v>
      </c>
      <c r="I440" s="151">
        <v>98401</v>
      </c>
      <c r="J440" s="83" t="s">
        <v>429</v>
      </c>
      <c r="K440" s="24">
        <v>770</v>
      </c>
      <c r="L440" s="24"/>
      <c r="M440" s="24"/>
      <c r="N440" s="24"/>
      <c r="O440" s="24"/>
      <c r="P440" s="211"/>
      <c r="Q440" s="83"/>
      <c r="R440" s="83"/>
      <c r="S440" s="83"/>
      <c r="T440" s="211"/>
      <c r="U440" s="83"/>
      <c r="V440" s="83">
        <v>14</v>
      </c>
      <c r="W440" s="83">
        <v>770</v>
      </c>
      <c r="X440" s="167"/>
      <c r="Y440" s="168"/>
      <c r="Z440" s="168"/>
      <c r="AA440" s="168"/>
      <c r="AB440" s="168"/>
      <c r="AC440" s="168"/>
      <c r="AD440" s="168"/>
      <c r="AE440" s="168"/>
    </row>
    <row r="441" spans="1:31" s="141" customFormat="1" x14ac:dyDescent="0.25">
      <c r="A441" s="138">
        <v>27.690000000000101</v>
      </c>
      <c r="B441" s="165" t="s">
        <v>412</v>
      </c>
      <c r="C441" s="110">
        <v>2109020</v>
      </c>
      <c r="D441" s="212" t="s">
        <v>303</v>
      </c>
      <c r="E441" s="212"/>
      <c r="F441" s="110">
        <v>796</v>
      </c>
      <c r="G441" s="81" t="s">
        <v>17</v>
      </c>
      <c r="H441" s="129">
        <v>30</v>
      </c>
      <c r="I441" s="151">
        <v>98401</v>
      </c>
      <c r="J441" s="83" t="s">
        <v>429</v>
      </c>
      <c r="K441" s="24">
        <v>1950</v>
      </c>
      <c r="L441" s="24"/>
      <c r="M441" s="24"/>
      <c r="N441" s="24"/>
      <c r="O441" s="24"/>
      <c r="P441" s="211"/>
      <c r="Q441" s="83"/>
      <c r="R441" s="83">
        <v>30</v>
      </c>
      <c r="S441" s="83">
        <v>1950</v>
      </c>
      <c r="T441" s="211"/>
      <c r="U441" s="83"/>
      <c r="V441" s="83">
        <v>0</v>
      </c>
      <c r="W441" s="83">
        <v>0</v>
      </c>
      <c r="X441" s="167"/>
      <c r="Y441" s="168"/>
      <c r="Z441" s="168"/>
      <c r="AA441" s="168"/>
      <c r="AB441" s="168"/>
      <c r="AC441" s="168"/>
      <c r="AD441" s="168"/>
      <c r="AE441" s="168"/>
    </row>
    <row r="442" spans="1:31" s="141" customFormat="1" x14ac:dyDescent="0.25">
      <c r="A442" s="138">
        <v>27.700000000000099</v>
      </c>
      <c r="B442" s="165" t="s">
        <v>412</v>
      </c>
      <c r="C442" s="110">
        <v>2109020</v>
      </c>
      <c r="D442" s="212" t="s">
        <v>304</v>
      </c>
      <c r="E442" s="212"/>
      <c r="F442" s="110">
        <v>796</v>
      </c>
      <c r="G442" s="81" t="s">
        <v>17</v>
      </c>
      <c r="H442" s="129">
        <v>217</v>
      </c>
      <c r="I442" s="151">
        <v>98401</v>
      </c>
      <c r="J442" s="83" t="s">
        <v>429</v>
      </c>
      <c r="K442" s="24">
        <v>3461.15</v>
      </c>
      <c r="L442" s="24"/>
      <c r="M442" s="24"/>
      <c r="N442" s="24"/>
      <c r="O442" s="24"/>
      <c r="P442" s="211"/>
      <c r="Q442" s="83"/>
      <c r="R442" s="83">
        <v>200</v>
      </c>
      <c r="S442" s="83">
        <v>3190</v>
      </c>
      <c r="T442" s="211"/>
      <c r="U442" s="83"/>
      <c r="V442" s="83">
        <v>17</v>
      </c>
      <c r="W442" s="83">
        <v>271.14999999999998</v>
      </c>
      <c r="X442" s="167"/>
      <c r="Y442" s="168"/>
      <c r="Z442" s="168"/>
      <c r="AA442" s="168"/>
      <c r="AB442" s="168"/>
      <c r="AC442" s="168"/>
      <c r="AD442" s="168"/>
      <c r="AE442" s="168"/>
    </row>
    <row r="443" spans="1:31" s="141" customFormat="1" x14ac:dyDescent="0.25">
      <c r="A443" s="138">
        <v>27.7100000000001</v>
      </c>
      <c r="B443" s="165" t="s">
        <v>412</v>
      </c>
      <c r="C443" s="110">
        <v>2109020</v>
      </c>
      <c r="D443" s="212" t="s">
        <v>305</v>
      </c>
      <c r="E443" s="212"/>
      <c r="F443" s="110">
        <v>796</v>
      </c>
      <c r="G443" s="81" t="s">
        <v>17</v>
      </c>
      <c r="H443" s="129">
        <v>200</v>
      </c>
      <c r="I443" s="151">
        <v>98401</v>
      </c>
      <c r="J443" s="83" t="s">
        <v>429</v>
      </c>
      <c r="K443" s="24">
        <v>1400</v>
      </c>
      <c r="L443" s="24"/>
      <c r="M443" s="24"/>
      <c r="N443" s="24"/>
      <c r="O443" s="24"/>
      <c r="P443" s="211"/>
      <c r="Q443" s="83"/>
      <c r="R443" s="83">
        <v>200</v>
      </c>
      <c r="S443" s="83">
        <v>1400</v>
      </c>
      <c r="T443" s="211"/>
      <c r="U443" s="83"/>
      <c r="V443" s="83">
        <v>0</v>
      </c>
      <c r="W443" s="83">
        <v>0</v>
      </c>
      <c r="X443" s="167"/>
      <c r="Y443" s="168"/>
      <c r="Z443" s="168"/>
      <c r="AA443" s="168"/>
      <c r="AB443" s="168"/>
      <c r="AC443" s="168"/>
      <c r="AD443" s="168"/>
      <c r="AE443" s="168"/>
    </row>
    <row r="444" spans="1:31" s="141" customFormat="1" x14ac:dyDescent="0.25">
      <c r="A444" s="138">
        <v>27.720000000000098</v>
      </c>
      <c r="B444" s="165" t="s">
        <v>412</v>
      </c>
      <c r="C444" s="110">
        <v>2109020</v>
      </c>
      <c r="D444" s="212" t="s">
        <v>306</v>
      </c>
      <c r="E444" s="212"/>
      <c r="F444" s="110">
        <v>796</v>
      </c>
      <c r="G444" s="81" t="s">
        <v>17</v>
      </c>
      <c r="H444" s="129">
        <v>128</v>
      </c>
      <c r="I444" s="151">
        <v>98401</v>
      </c>
      <c r="J444" s="83" t="s">
        <v>429</v>
      </c>
      <c r="K444" s="24">
        <v>4352</v>
      </c>
      <c r="L444" s="24"/>
      <c r="M444" s="24"/>
      <c r="N444" s="24"/>
      <c r="O444" s="24"/>
      <c r="P444" s="211"/>
      <c r="Q444" s="83"/>
      <c r="R444" s="83"/>
      <c r="S444" s="83"/>
      <c r="T444" s="211">
        <v>60</v>
      </c>
      <c r="U444" s="83">
        <v>2040</v>
      </c>
      <c r="V444" s="83">
        <v>68</v>
      </c>
      <c r="W444" s="83">
        <v>2312</v>
      </c>
      <c r="X444" s="167"/>
      <c r="Y444" s="168"/>
      <c r="Z444" s="168"/>
      <c r="AA444" s="168"/>
      <c r="AB444" s="168"/>
      <c r="AC444" s="168"/>
      <c r="AD444" s="168"/>
      <c r="AE444" s="168"/>
    </row>
    <row r="445" spans="1:31" s="141" customFormat="1" x14ac:dyDescent="0.25">
      <c r="A445" s="138">
        <v>27.7300000000001</v>
      </c>
      <c r="B445" s="165" t="s">
        <v>412</v>
      </c>
      <c r="C445" s="110">
        <v>2109020</v>
      </c>
      <c r="D445" s="212" t="s">
        <v>307</v>
      </c>
      <c r="E445" s="212"/>
      <c r="F445" s="110">
        <v>796</v>
      </c>
      <c r="G445" s="81" t="s">
        <v>17</v>
      </c>
      <c r="H445" s="129">
        <v>184</v>
      </c>
      <c r="I445" s="151">
        <v>98401</v>
      </c>
      <c r="J445" s="83" t="s">
        <v>429</v>
      </c>
      <c r="K445" s="24">
        <v>9936</v>
      </c>
      <c r="L445" s="24"/>
      <c r="M445" s="24"/>
      <c r="N445" s="24"/>
      <c r="O445" s="24"/>
      <c r="P445" s="211"/>
      <c r="Q445" s="83"/>
      <c r="R445" s="83">
        <v>60</v>
      </c>
      <c r="S445" s="83">
        <v>3240</v>
      </c>
      <c r="T445" s="211">
        <v>60</v>
      </c>
      <c r="U445" s="83">
        <v>3240</v>
      </c>
      <c r="V445" s="83">
        <v>64</v>
      </c>
      <c r="W445" s="83">
        <v>3456</v>
      </c>
      <c r="X445" s="167"/>
      <c r="Y445" s="168"/>
      <c r="Z445" s="168"/>
      <c r="AA445" s="168"/>
      <c r="AB445" s="168"/>
      <c r="AC445" s="168"/>
      <c r="AD445" s="168"/>
      <c r="AE445" s="168"/>
    </row>
    <row r="446" spans="1:31" s="141" customFormat="1" x14ac:dyDescent="0.25">
      <c r="A446" s="138">
        <v>27.740000000000101</v>
      </c>
      <c r="B446" s="165" t="s">
        <v>412</v>
      </c>
      <c r="C446" s="110">
        <v>2109020</v>
      </c>
      <c r="D446" s="212" t="s">
        <v>308</v>
      </c>
      <c r="E446" s="212"/>
      <c r="F446" s="110">
        <v>796</v>
      </c>
      <c r="G446" s="81" t="s">
        <v>17</v>
      </c>
      <c r="H446" s="129">
        <v>200</v>
      </c>
      <c r="I446" s="151">
        <v>98401</v>
      </c>
      <c r="J446" s="83" t="s">
        <v>429</v>
      </c>
      <c r="K446" s="24">
        <v>5000</v>
      </c>
      <c r="L446" s="24"/>
      <c r="M446" s="24"/>
      <c r="N446" s="24"/>
      <c r="O446" s="24"/>
      <c r="P446" s="211"/>
      <c r="Q446" s="83"/>
      <c r="R446" s="83"/>
      <c r="S446" s="83"/>
      <c r="T446" s="211">
        <v>100</v>
      </c>
      <c r="U446" s="83">
        <v>2500</v>
      </c>
      <c r="V446" s="83">
        <v>100</v>
      </c>
      <c r="W446" s="83">
        <v>2500</v>
      </c>
      <c r="X446" s="167"/>
      <c r="Y446" s="168"/>
      <c r="Z446" s="168"/>
      <c r="AA446" s="168"/>
      <c r="AB446" s="168"/>
      <c r="AC446" s="168"/>
      <c r="AD446" s="168"/>
      <c r="AE446" s="168"/>
    </row>
    <row r="447" spans="1:31" s="141" customFormat="1" x14ac:dyDescent="0.25">
      <c r="A447" s="138">
        <v>27.750000000000099</v>
      </c>
      <c r="B447" s="165" t="s">
        <v>412</v>
      </c>
      <c r="C447" s="110">
        <v>2109020</v>
      </c>
      <c r="D447" s="212" t="s">
        <v>309</v>
      </c>
      <c r="E447" s="212"/>
      <c r="F447" s="110">
        <v>796</v>
      </c>
      <c r="G447" s="81" t="s">
        <v>17</v>
      </c>
      <c r="H447" s="129">
        <v>153</v>
      </c>
      <c r="I447" s="151">
        <v>98401</v>
      </c>
      <c r="J447" s="83" t="s">
        <v>429</v>
      </c>
      <c r="K447" s="24">
        <v>7038</v>
      </c>
      <c r="L447" s="24"/>
      <c r="M447" s="24"/>
      <c r="N447" s="24"/>
      <c r="O447" s="24"/>
      <c r="P447" s="211"/>
      <c r="Q447" s="83"/>
      <c r="R447" s="83"/>
      <c r="S447" s="83"/>
      <c r="T447" s="211">
        <v>50</v>
      </c>
      <c r="U447" s="83">
        <v>2300</v>
      </c>
      <c r="V447" s="83">
        <v>103</v>
      </c>
      <c r="W447" s="83">
        <v>4738</v>
      </c>
      <c r="X447" s="167"/>
      <c r="Y447" s="168"/>
      <c r="Z447" s="168"/>
      <c r="AA447" s="168"/>
      <c r="AB447" s="168"/>
      <c r="AC447" s="168"/>
      <c r="AD447" s="168"/>
      <c r="AE447" s="168"/>
    </row>
    <row r="448" spans="1:31" s="141" customFormat="1" x14ac:dyDescent="0.25">
      <c r="A448" s="138">
        <v>27.760000000000101</v>
      </c>
      <c r="B448" s="165" t="s">
        <v>412</v>
      </c>
      <c r="C448" s="110">
        <v>2109020</v>
      </c>
      <c r="D448" s="80" t="s">
        <v>310</v>
      </c>
      <c r="E448" s="80"/>
      <c r="F448" s="110">
        <v>796</v>
      </c>
      <c r="G448" s="81" t="s">
        <v>17</v>
      </c>
      <c r="H448" s="129">
        <v>5</v>
      </c>
      <c r="I448" s="151">
        <v>98401</v>
      </c>
      <c r="J448" s="83" t="s">
        <v>429</v>
      </c>
      <c r="K448" s="24">
        <v>250</v>
      </c>
      <c r="L448" s="24"/>
      <c r="M448" s="24"/>
      <c r="N448" s="24"/>
      <c r="O448" s="24"/>
      <c r="P448" s="211"/>
      <c r="Q448" s="83"/>
      <c r="R448" s="83"/>
      <c r="S448" s="83"/>
      <c r="T448" s="211"/>
      <c r="U448" s="83"/>
      <c r="V448" s="83">
        <v>5</v>
      </c>
      <c r="W448" s="83">
        <v>250</v>
      </c>
      <c r="X448" s="167"/>
      <c r="Y448" s="168"/>
      <c r="Z448" s="168"/>
      <c r="AA448" s="168"/>
      <c r="AB448" s="168"/>
      <c r="AC448" s="168"/>
      <c r="AD448" s="168"/>
      <c r="AE448" s="168"/>
    </row>
    <row r="449" spans="1:256" s="141" customFormat="1" x14ac:dyDescent="0.25">
      <c r="A449" s="138">
        <v>27.770000000000099</v>
      </c>
      <c r="B449" s="165" t="s">
        <v>412</v>
      </c>
      <c r="C449" s="110">
        <v>2109020</v>
      </c>
      <c r="D449" s="212" t="s">
        <v>311</v>
      </c>
      <c r="E449" s="212"/>
      <c r="F449" s="110">
        <v>796</v>
      </c>
      <c r="G449" s="81" t="s">
        <v>17</v>
      </c>
      <c r="H449" s="129">
        <v>1</v>
      </c>
      <c r="I449" s="151">
        <v>98401</v>
      </c>
      <c r="J449" s="83" t="s">
        <v>429</v>
      </c>
      <c r="K449" s="24">
        <v>1016</v>
      </c>
      <c r="L449" s="24"/>
      <c r="M449" s="24"/>
      <c r="N449" s="24"/>
      <c r="O449" s="24"/>
      <c r="P449" s="211"/>
      <c r="Q449" s="83"/>
      <c r="R449" s="83">
        <v>1</v>
      </c>
      <c r="S449" s="83">
        <v>1016</v>
      </c>
      <c r="T449" s="211"/>
      <c r="U449" s="83"/>
      <c r="V449" s="83">
        <v>0</v>
      </c>
      <c r="W449" s="83">
        <v>0</v>
      </c>
      <c r="X449" s="167"/>
      <c r="Y449" s="168"/>
      <c r="Z449" s="168"/>
      <c r="AA449" s="168"/>
      <c r="AB449" s="168"/>
      <c r="AC449" s="168"/>
      <c r="AD449" s="168"/>
      <c r="AE449" s="168"/>
    </row>
    <row r="450" spans="1:256" s="141" customFormat="1" x14ac:dyDescent="0.25">
      <c r="A450" s="138">
        <v>27.780000000000101</v>
      </c>
      <c r="B450" s="165" t="s">
        <v>412</v>
      </c>
      <c r="C450" s="110">
        <v>2109020</v>
      </c>
      <c r="D450" s="212" t="s">
        <v>312</v>
      </c>
      <c r="E450" s="212"/>
      <c r="F450" s="110">
        <v>796</v>
      </c>
      <c r="G450" s="81" t="s">
        <v>17</v>
      </c>
      <c r="H450" s="129">
        <v>31</v>
      </c>
      <c r="I450" s="151">
        <v>98401</v>
      </c>
      <c r="J450" s="83" t="s">
        <v>429</v>
      </c>
      <c r="K450" s="24">
        <v>3738.6</v>
      </c>
      <c r="L450" s="24"/>
      <c r="M450" s="24"/>
      <c r="N450" s="24"/>
      <c r="O450" s="24"/>
      <c r="P450" s="211"/>
      <c r="Q450" s="83"/>
      <c r="R450" s="83"/>
      <c r="S450" s="83"/>
      <c r="T450" s="211"/>
      <c r="U450" s="83"/>
      <c r="V450" s="83">
        <v>31</v>
      </c>
      <c r="W450" s="83">
        <v>3738.6</v>
      </c>
      <c r="X450" s="167"/>
      <c r="Y450" s="168"/>
      <c r="Z450" s="168"/>
      <c r="AA450" s="168"/>
      <c r="AB450" s="168"/>
      <c r="AC450" s="168"/>
      <c r="AD450" s="168"/>
      <c r="AE450" s="168"/>
    </row>
    <row r="451" spans="1:256" s="141" customFormat="1" x14ac:dyDescent="0.25">
      <c r="A451" s="138">
        <v>27.790000000000099</v>
      </c>
      <c r="B451" s="165" t="s">
        <v>412</v>
      </c>
      <c r="C451" s="110">
        <v>2109020</v>
      </c>
      <c r="D451" s="212" t="s">
        <v>313</v>
      </c>
      <c r="E451" s="212"/>
      <c r="F451" s="110">
        <v>796</v>
      </c>
      <c r="G451" s="81" t="s">
        <v>17</v>
      </c>
      <c r="H451" s="129">
        <v>19</v>
      </c>
      <c r="I451" s="151">
        <v>98401</v>
      </c>
      <c r="J451" s="83" t="s">
        <v>429</v>
      </c>
      <c r="K451" s="24">
        <v>836</v>
      </c>
      <c r="L451" s="24"/>
      <c r="M451" s="24"/>
      <c r="N451" s="24"/>
      <c r="O451" s="24"/>
      <c r="P451" s="211"/>
      <c r="Q451" s="83"/>
      <c r="R451" s="83"/>
      <c r="S451" s="83"/>
      <c r="T451" s="211"/>
      <c r="U451" s="83"/>
      <c r="V451" s="83">
        <v>19</v>
      </c>
      <c r="W451" s="83">
        <v>836</v>
      </c>
      <c r="X451" s="167"/>
      <c r="Y451" s="168"/>
      <c r="Z451" s="168"/>
      <c r="AA451" s="168"/>
      <c r="AB451" s="168"/>
      <c r="AC451" s="168"/>
      <c r="AD451" s="168"/>
      <c r="AE451" s="168"/>
    </row>
    <row r="452" spans="1:256" s="141" customFormat="1" x14ac:dyDescent="0.25">
      <c r="A452" s="138">
        <v>27.8000000000001</v>
      </c>
      <c r="B452" s="165" t="s">
        <v>412</v>
      </c>
      <c r="C452" s="110">
        <v>2109020</v>
      </c>
      <c r="D452" s="212" t="s">
        <v>314</v>
      </c>
      <c r="E452" s="212"/>
      <c r="F452" s="110">
        <v>796</v>
      </c>
      <c r="G452" s="81" t="s">
        <v>17</v>
      </c>
      <c r="H452" s="129">
        <v>30</v>
      </c>
      <c r="I452" s="151">
        <v>98401</v>
      </c>
      <c r="J452" s="83" t="s">
        <v>429</v>
      </c>
      <c r="K452" s="24">
        <v>300</v>
      </c>
      <c r="L452" s="24"/>
      <c r="M452" s="24"/>
      <c r="N452" s="24"/>
      <c r="O452" s="24"/>
      <c r="P452" s="211"/>
      <c r="Q452" s="83"/>
      <c r="R452" s="83"/>
      <c r="S452" s="83"/>
      <c r="T452" s="211"/>
      <c r="U452" s="83"/>
      <c r="V452" s="83">
        <v>30</v>
      </c>
      <c r="W452" s="83">
        <v>300</v>
      </c>
      <c r="X452" s="167"/>
      <c r="Y452" s="168"/>
      <c r="Z452" s="168"/>
      <c r="AA452" s="168"/>
      <c r="AB452" s="168"/>
      <c r="AC452" s="168"/>
      <c r="AD452" s="168"/>
      <c r="AE452" s="168"/>
    </row>
    <row r="453" spans="1:256" s="141" customFormat="1" x14ac:dyDescent="0.25">
      <c r="A453" s="138">
        <v>27.810000000000102</v>
      </c>
      <c r="B453" s="165" t="s">
        <v>412</v>
      </c>
      <c r="C453" s="110">
        <v>2109020</v>
      </c>
      <c r="D453" s="80" t="s">
        <v>315</v>
      </c>
      <c r="E453" s="80"/>
      <c r="F453" s="110">
        <v>796</v>
      </c>
      <c r="G453" s="81" t="s">
        <v>17</v>
      </c>
      <c r="H453" s="129">
        <v>27</v>
      </c>
      <c r="I453" s="151">
        <v>98401</v>
      </c>
      <c r="J453" s="83" t="s">
        <v>429</v>
      </c>
      <c r="K453" s="24">
        <v>3240</v>
      </c>
      <c r="L453" s="24"/>
      <c r="M453" s="24"/>
      <c r="N453" s="24"/>
      <c r="O453" s="24"/>
      <c r="P453" s="211"/>
      <c r="Q453" s="83"/>
      <c r="R453" s="83"/>
      <c r="S453" s="83"/>
      <c r="T453" s="211"/>
      <c r="U453" s="83"/>
      <c r="V453" s="83">
        <v>27</v>
      </c>
      <c r="W453" s="83">
        <v>3240</v>
      </c>
      <c r="X453" s="167"/>
      <c r="Y453" s="168"/>
      <c r="Z453" s="168"/>
      <c r="AA453" s="168"/>
      <c r="AB453" s="168"/>
      <c r="AC453" s="168"/>
      <c r="AD453" s="168"/>
      <c r="AE453" s="168"/>
    </row>
    <row r="454" spans="1:256" s="141" customFormat="1" x14ac:dyDescent="0.25">
      <c r="A454" s="138">
        <v>27.8200000000001</v>
      </c>
      <c r="B454" s="165" t="s">
        <v>412</v>
      </c>
      <c r="C454" s="110">
        <v>2109020</v>
      </c>
      <c r="D454" s="212" t="s">
        <v>316</v>
      </c>
      <c r="E454" s="212"/>
      <c r="F454" s="110">
        <v>796</v>
      </c>
      <c r="G454" s="81" t="s">
        <v>17</v>
      </c>
      <c r="H454" s="129">
        <v>110</v>
      </c>
      <c r="I454" s="151">
        <v>98401</v>
      </c>
      <c r="J454" s="83" t="s">
        <v>429</v>
      </c>
      <c r="K454" s="24">
        <v>3410</v>
      </c>
      <c r="L454" s="24"/>
      <c r="M454" s="24"/>
      <c r="N454" s="24"/>
      <c r="O454" s="24"/>
      <c r="P454" s="211"/>
      <c r="Q454" s="83"/>
      <c r="R454" s="83"/>
      <c r="S454" s="83"/>
      <c r="T454" s="211">
        <v>50</v>
      </c>
      <c r="U454" s="83">
        <v>1550</v>
      </c>
      <c r="V454" s="83">
        <v>60</v>
      </c>
      <c r="W454" s="83">
        <v>1860</v>
      </c>
      <c r="X454" s="167"/>
      <c r="Y454" s="168"/>
      <c r="Z454" s="168"/>
      <c r="AA454" s="168"/>
      <c r="AB454" s="168"/>
      <c r="AC454" s="168"/>
      <c r="AD454" s="168"/>
      <c r="AE454" s="168"/>
    </row>
    <row r="455" spans="1:256" s="141" customFormat="1" x14ac:dyDescent="0.25">
      <c r="A455" s="138">
        <v>27.830000000000101</v>
      </c>
      <c r="B455" s="165" t="s">
        <v>412</v>
      </c>
      <c r="C455" s="110">
        <v>2109020</v>
      </c>
      <c r="D455" s="212" t="s">
        <v>317</v>
      </c>
      <c r="E455" s="212"/>
      <c r="F455" s="110">
        <v>796</v>
      </c>
      <c r="G455" s="81" t="s">
        <v>17</v>
      </c>
      <c r="H455" s="129">
        <v>197</v>
      </c>
      <c r="I455" s="151">
        <v>98401</v>
      </c>
      <c r="J455" s="83" t="s">
        <v>429</v>
      </c>
      <c r="K455" s="24">
        <v>5516</v>
      </c>
      <c r="L455" s="24"/>
      <c r="M455" s="24"/>
      <c r="N455" s="24"/>
      <c r="O455" s="24"/>
      <c r="P455" s="211"/>
      <c r="Q455" s="83"/>
      <c r="R455" s="83"/>
      <c r="S455" s="83"/>
      <c r="T455" s="211">
        <v>100</v>
      </c>
      <c r="U455" s="83">
        <v>2800</v>
      </c>
      <c r="V455" s="83">
        <v>97</v>
      </c>
      <c r="W455" s="83">
        <v>2716</v>
      </c>
      <c r="X455" s="167"/>
      <c r="Y455" s="168"/>
      <c r="Z455" s="168"/>
      <c r="AA455" s="168"/>
      <c r="AB455" s="168"/>
      <c r="AC455" s="168"/>
      <c r="AD455" s="168"/>
      <c r="AE455" s="168"/>
    </row>
    <row r="456" spans="1:256" s="141" customFormat="1" x14ac:dyDescent="0.25">
      <c r="A456" s="138">
        <v>27.840000000000099</v>
      </c>
      <c r="B456" s="165" t="s">
        <v>412</v>
      </c>
      <c r="C456" s="110">
        <v>2109020</v>
      </c>
      <c r="D456" s="212" t="s">
        <v>318</v>
      </c>
      <c r="E456" s="212"/>
      <c r="F456" s="110">
        <v>796</v>
      </c>
      <c r="G456" s="81" t="s">
        <v>17</v>
      </c>
      <c r="H456" s="129">
        <v>406</v>
      </c>
      <c r="I456" s="151">
        <v>98401</v>
      </c>
      <c r="J456" s="83" t="s">
        <v>429</v>
      </c>
      <c r="K456" s="24">
        <v>9459.7999999999993</v>
      </c>
      <c r="L456" s="24"/>
      <c r="M456" s="24"/>
      <c r="N456" s="24"/>
      <c r="O456" s="24"/>
      <c r="P456" s="211"/>
      <c r="Q456" s="83"/>
      <c r="R456" s="83"/>
      <c r="S456" s="83"/>
      <c r="T456" s="211">
        <v>200</v>
      </c>
      <c r="U456" s="83">
        <v>4600</v>
      </c>
      <c r="V456" s="83">
        <v>206</v>
      </c>
      <c r="W456" s="83">
        <v>4859.8</v>
      </c>
      <c r="X456" s="167"/>
      <c r="Y456" s="168"/>
      <c r="Z456" s="168"/>
      <c r="AA456" s="168"/>
      <c r="AB456" s="168"/>
      <c r="AC456" s="168"/>
      <c r="AD456" s="168"/>
      <c r="AE456" s="168"/>
    </row>
    <row r="457" spans="1:256" s="141" customFormat="1" x14ac:dyDescent="0.25">
      <c r="A457" s="138">
        <v>27.850000000000101</v>
      </c>
      <c r="B457" s="165" t="s">
        <v>412</v>
      </c>
      <c r="C457" s="110">
        <v>2109020</v>
      </c>
      <c r="D457" s="212" t="s">
        <v>319</v>
      </c>
      <c r="E457" s="212"/>
      <c r="F457" s="110">
        <v>796</v>
      </c>
      <c r="G457" s="81" t="s">
        <v>17</v>
      </c>
      <c r="H457" s="129">
        <v>3</v>
      </c>
      <c r="I457" s="151">
        <v>98401</v>
      </c>
      <c r="J457" s="83" t="s">
        <v>429</v>
      </c>
      <c r="K457" s="24">
        <v>51</v>
      </c>
      <c r="L457" s="24"/>
      <c r="M457" s="24"/>
      <c r="N457" s="24"/>
      <c r="O457" s="24"/>
      <c r="P457" s="211"/>
      <c r="Q457" s="83"/>
      <c r="R457" s="83"/>
      <c r="S457" s="83"/>
      <c r="T457" s="211"/>
      <c r="U457" s="83"/>
      <c r="V457" s="83">
        <v>3</v>
      </c>
      <c r="W457" s="83">
        <v>51</v>
      </c>
      <c r="X457" s="167"/>
      <c r="Y457" s="168"/>
      <c r="Z457" s="168"/>
      <c r="AA457" s="168"/>
      <c r="AB457" s="168"/>
      <c r="AC457" s="168"/>
      <c r="AD457" s="168"/>
      <c r="AE457" s="168"/>
    </row>
    <row r="458" spans="1:256" s="141" customFormat="1" x14ac:dyDescent="0.25">
      <c r="A458" s="138">
        <v>27.860000000000099</v>
      </c>
      <c r="B458" s="165" t="s">
        <v>412</v>
      </c>
      <c r="C458" s="110">
        <v>2109020</v>
      </c>
      <c r="D458" s="210" t="s">
        <v>320</v>
      </c>
      <c r="E458" s="210"/>
      <c r="F458" s="110">
        <v>796</v>
      </c>
      <c r="G458" s="81" t="s">
        <v>17</v>
      </c>
      <c r="H458" s="129">
        <v>26</v>
      </c>
      <c r="I458" s="151">
        <v>98401</v>
      </c>
      <c r="J458" s="83" t="s">
        <v>429</v>
      </c>
      <c r="K458" s="24">
        <v>780</v>
      </c>
      <c r="L458" s="24"/>
      <c r="M458" s="24"/>
      <c r="N458" s="24"/>
      <c r="O458" s="24"/>
      <c r="P458" s="211"/>
      <c r="Q458" s="83"/>
      <c r="R458" s="83">
        <v>20</v>
      </c>
      <c r="S458" s="83">
        <v>600</v>
      </c>
      <c r="T458" s="211"/>
      <c r="U458" s="83"/>
      <c r="V458" s="83">
        <v>6</v>
      </c>
      <c r="W458" s="83">
        <v>180</v>
      </c>
      <c r="X458" s="167"/>
      <c r="Y458" s="168"/>
      <c r="Z458" s="168"/>
      <c r="AA458" s="168"/>
      <c r="AB458" s="168"/>
      <c r="AC458" s="168"/>
      <c r="AD458" s="168"/>
      <c r="AE458" s="168"/>
    </row>
    <row r="459" spans="1:256" s="141" customFormat="1" x14ac:dyDescent="0.25">
      <c r="A459" s="138">
        <v>27.87</v>
      </c>
      <c r="B459" s="165" t="s">
        <v>412</v>
      </c>
      <c r="C459" s="110">
        <v>2109020</v>
      </c>
      <c r="D459" s="212" t="s">
        <v>321</v>
      </c>
      <c r="E459" s="212"/>
      <c r="F459" s="110">
        <v>796</v>
      </c>
      <c r="G459" s="81" t="s">
        <v>17</v>
      </c>
      <c r="H459" s="129">
        <v>7</v>
      </c>
      <c r="I459" s="151">
        <v>98401</v>
      </c>
      <c r="J459" s="83" t="s">
        <v>429</v>
      </c>
      <c r="K459" s="24">
        <v>140</v>
      </c>
      <c r="L459" s="24"/>
      <c r="M459" s="24"/>
      <c r="N459" s="24"/>
      <c r="O459" s="24"/>
      <c r="P459" s="211"/>
      <c r="Q459" s="83"/>
      <c r="R459" s="83"/>
      <c r="S459" s="83"/>
      <c r="T459" s="211"/>
      <c r="U459" s="83"/>
      <c r="V459" s="83">
        <v>7</v>
      </c>
      <c r="W459" s="83">
        <v>140</v>
      </c>
      <c r="X459" s="167"/>
      <c r="Y459" s="168"/>
      <c r="Z459" s="168"/>
      <c r="AA459" s="168"/>
      <c r="AB459" s="168"/>
      <c r="AC459" s="168"/>
      <c r="AD459" s="168"/>
      <c r="AE459" s="168"/>
    </row>
    <row r="460" spans="1:256" s="141" customFormat="1" x14ac:dyDescent="0.25">
      <c r="A460" s="138">
        <v>27.88</v>
      </c>
      <c r="B460" s="165" t="s">
        <v>412</v>
      </c>
      <c r="C460" s="110">
        <v>2109020</v>
      </c>
      <c r="D460" s="212" t="s">
        <v>322</v>
      </c>
      <c r="E460" s="212"/>
      <c r="F460" s="110">
        <v>796</v>
      </c>
      <c r="G460" s="81" t="s">
        <v>17</v>
      </c>
      <c r="H460" s="129">
        <v>13</v>
      </c>
      <c r="I460" s="151">
        <v>98401</v>
      </c>
      <c r="J460" s="83" t="s">
        <v>429</v>
      </c>
      <c r="K460" s="74">
        <v>1073.8</v>
      </c>
      <c r="L460" s="74"/>
      <c r="M460" s="74"/>
      <c r="N460" s="74"/>
      <c r="O460" s="74"/>
      <c r="P460" s="211"/>
      <c r="Q460" s="83"/>
      <c r="R460" s="83"/>
      <c r="S460" s="83"/>
      <c r="T460" s="211"/>
      <c r="U460" s="83"/>
      <c r="V460" s="83">
        <v>13</v>
      </c>
      <c r="W460" s="83">
        <v>1073.8</v>
      </c>
      <c r="X460" s="167"/>
      <c r="Y460" s="168"/>
      <c r="Z460" s="168"/>
      <c r="AA460" s="168"/>
      <c r="AB460" s="168"/>
      <c r="AC460" s="168"/>
      <c r="AD460" s="168"/>
      <c r="AE460" s="168"/>
    </row>
    <row r="461" spans="1:256" s="141" customFormat="1" x14ac:dyDescent="0.25">
      <c r="A461" s="138">
        <v>27.89</v>
      </c>
      <c r="B461" s="165" t="s">
        <v>412</v>
      </c>
      <c r="C461" s="110">
        <v>2109020</v>
      </c>
      <c r="D461" s="212" t="s">
        <v>339</v>
      </c>
      <c r="E461" s="212"/>
      <c r="F461" s="213"/>
      <c r="G461" s="81"/>
      <c r="H461" s="131"/>
      <c r="I461" s="151">
        <v>98401</v>
      </c>
      <c r="J461" s="83" t="s">
        <v>429</v>
      </c>
      <c r="K461" s="74"/>
      <c r="L461" s="136"/>
      <c r="M461" s="136"/>
      <c r="N461" s="136"/>
      <c r="O461" s="136"/>
      <c r="P461" s="214"/>
      <c r="Q461" s="83"/>
      <c r="R461" s="83"/>
      <c r="S461" s="83"/>
      <c r="T461" s="211"/>
      <c r="U461" s="83">
        <v>46513</v>
      </c>
      <c r="V461" s="83"/>
      <c r="W461" s="83"/>
      <c r="X461" s="167"/>
      <c r="Y461" s="168"/>
      <c r="Z461" s="168"/>
      <c r="AA461" s="168"/>
      <c r="AB461" s="168"/>
      <c r="AC461" s="168"/>
      <c r="AD461" s="168"/>
      <c r="AE461" s="168"/>
    </row>
    <row r="462" spans="1:256" s="141" customFormat="1" x14ac:dyDescent="0.25">
      <c r="A462" s="138"/>
      <c r="B462" s="165"/>
      <c r="C462" s="110"/>
      <c r="D462" s="202"/>
      <c r="E462" s="202"/>
      <c r="F462" s="203"/>
      <c r="G462" s="81"/>
      <c r="H462" s="131"/>
      <c r="I462" s="155"/>
      <c r="J462" s="75"/>
      <c r="K462" s="65">
        <v>858995.95</v>
      </c>
      <c r="L462" s="137"/>
      <c r="M462" s="137"/>
      <c r="N462" s="137"/>
      <c r="O462" s="137"/>
      <c r="P462" s="82"/>
      <c r="Q462" s="65">
        <v>85951</v>
      </c>
      <c r="R462" s="83"/>
      <c r="S462" s="65">
        <v>210202.5</v>
      </c>
      <c r="T462" s="83"/>
      <c r="U462" s="65">
        <v>116655</v>
      </c>
      <c r="V462" s="65"/>
      <c r="W462" s="65">
        <v>446187.45</v>
      </c>
      <c r="X462" s="167"/>
      <c r="Y462" s="168"/>
      <c r="Z462" s="168"/>
      <c r="AA462" s="168"/>
      <c r="AB462" s="168"/>
      <c r="AC462" s="168"/>
      <c r="AD462" s="168"/>
      <c r="AE462" s="168"/>
    </row>
    <row r="463" spans="1:256" s="164" customFormat="1" ht="14.25" x14ac:dyDescent="0.2">
      <c r="A463" s="140"/>
      <c r="B463" s="156"/>
      <c r="C463" s="157"/>
      <c r="D463" s="158" t="s">
        <v>323</v>
      </c>
      <c r="E463" s="158"/>
      <c r="F463" s="159"/>
      <c r="G463" s="160"/>
      <c r="H463" s="160"/>
      <c r="I463" s="161"/>
      <c r="J463" s="162"/>
      <c r="K463" s="162"/>
      <c r="L463" s="162"/>
      <c r="M463" s="162"/>
      <c r="N463" s="162"/>
      <c r="O463" s="162"/>
      <c r="P463" s="162"/>
      <c r="Q463" s="162"/>
      <c r="R463" s="162"/>
      <c r="S463" s="162"/>
      <c r="T463" s="162"/>
      <c r="U463" s="162"/>
      <c r="V463" s="162"/>
      <c r="W463" s="162"/>
      <c r="X463" s="163"/>
      <c r="Y463" s="140"/>
      <c r="Z463" s="156"/>
      <c r="AA463" s="157"/>
      <c r="AB463" s="158"/>
      <c r="AC463" s="158"/>
      <c r="AD463" s="159"/>
      <c r="AE463" s="160"/>
      <c r="AF463" s="160"/>
      <c r="AG463" s="162"/>
      <c r="AH463" s="162"/>
      <c r="AI463" s="162"/>
      <c r="AJ463" s="162"/>
      <c r="AK463" s="162"/>
      <c r="AL463" s="162"/>
      <c r="AM463" s="162"/>
      <c r="AN463" s="162"/>
      <c r="AO463" s="162"/>
      <c r="AP463" s="162"/>
      <c r="AQ463" s="162"/>
      <c r="AR463" s="162"/>
      <c r="AS463" s="162"/>
      <c r="AT463" s="162"/>
      <c r="AU463" s="162"/>
      <c r="AV463" s="163"/>
      <c r="AW463" s="140"/>
      <c r="AX463" s="156"/>
      <c r="AY463" s="157"/>
      <c r="AZ463" s="158"/>
      <c r="BA463" s="158"/>
      <c r="BB463" s="159"/>
      <c r="BC463" s="160"/>
      <c r="BD463" s="160"/>
      <c r="BE463" s="162"/>
      <c r="BF463" s="162"/>
      <c r="BG463" s="162"/>
      <c r="BH463" s="162"/>
      <c r="BI463" s="162"/>
      <c r="BJ463" s="162"/>
      <c r="BK463" s="162"/>
      <c r="BL463" s="162"/>
      <c r="BM463" s="162"/>
      <c r="BN463" s="162"/>
      <c r="BO463" s="162"/>
      <c r="BP463" s="162"/>
      <c r="BQ463" s="162"/>
      <c r="BR463" s="162"/>
      <c r="BS463" s="162"/>
      <c r="BT463" s="163"/>
      <c r="BU463" s="140"/>
      <c r="BV463" s="156"/>
      <c r="BW463" s="157"/>
      <c r="BX463" s="158"/>
      <c r="BY463" s="158"/>
      <c r="BZ463" s="159"/>
      <c r="CA463" s="160"/>
      <c r="CB463" s="160"/>
      <c r="CC463" s="162"/>
      <c r="CD463" s="162"/>
      <c r="CE463" s="162"/>
      <c r="CF463" s="162"/>
      <c r="CG463" s="162"/>
      <c r="CH463" s="162"/>
      <c r="CI463" s="162"/>
      <c r="CJ463" s="162"/>
      <c r="CK463" s="162"/>
      <c r="CL463" s="162"/>
      <c r="CM463" s="162"/>
      <c r="CN463" s="162"/>
      <c r="CO463" s="162"/>
      <c r="CP463" s="162"/>
      <c r="CQ463" s="162"/>
      <c r="CR463" s="163"/>
      <c r="CS463" s="140"/>
      <c r="CT463" s="156"/>
      <c r="CU463" s="157"/>
      <c r="CV463" s="158"/>
      <c r="CW463" s="158"/>
      <c r="CX463" s="159"/>
      <c r="CY463" s="160"/>
      <c r="CZ463" s="160"/>
      <c r="DA463" s="162"/>
      <c r="DB463" s="162"/>
      <c r="DC463" s="162"/>
      <c r="DD463" s="162"/>
      <c r="DE463" s="162"/>
      <c r="DF463" s="162"/>
      <c r="DG463" s="162"/>
      <c r="DH463" s="162"/>
      <c r="DI463" s="162"/>
      <c r="DJ463" s="162"/>
      <c r="DK463" s="162"/>
      <c r="DL463" s="162"/>
      <c r="DM463" s="162"/>
      <c r="DN463" s="162"/>
      <c r="DO463" s="162"/>
      <c r="DP463" s="163"/>
      <c r="DQ463" s="140"/>
      <c r="DR463" s="156"/>
      <c r="DS463" s="157"/>
      <c r="DT463" s="158"/>
      <c r="DU463" s="158"/>
      <c r="DV463" s="159"/>
      <c r="DW463" s="160"/>
      <c r="DX463" s="160"/>
      <c r="DY463" s="162"/>
      <c r="DZ463" s="162"/>
      <c r="EA463" s="162"/>
      <c r="EB463" s="162"/>
      <c r="EC463" s="162"/>
      <c r="ED463" s="162"/>
      <c r="EE463" s="162"/>
      <c r="EF463" s="162"/>
      <c r="EG463" s="162"/>
      <c r="EH463" s="162"/>
      <c r="EI463" s="162"/>
      <c r="EJ463" s="162"/>
      <c r="EK463" s="162"/>
      <c r="EL463" s="162"/>
      <c r="EM463" s="162"/>
      <c r="EN463" s="163"/>
      <c r="EO463" s="140"/>
      <c r="EP463" s="156"/>
      <c r="EQ463" s="157"/>
      <c r="ER463" s="158"/>
      <c r="ES463" s="158"/>
      <c r="ET463" s="159"/>
      <c r="EU463" s="160"/>
      <c r="EV463" s="160"/>
      <c r="EW463" s="162"/>
      <c r="EX463" s="162"/>
      <c r="EY463" s="162"/>
      <c r="EZ463" s="162"/>
      <c r="FA463" s="162"/>
      <c r="FB463" s="162"/>
      <c r="FC463" s="162"/>
      <c r="FD463" s="162"/>
      <c r="FE463" s="162"/>
      <c r="FF463" s="162"/>
      <c r="FG463" s="162"/>
      <c r="FH463" s="162"/>
      <c r="FI463" s="162"/>
      <c r="FJ463" s="162"/>
      <c r="FK463" s="162"/>
      <c r="FL463" s="163"/>
      <c r="FM463" s="140"/>
      <c r="FN463" s="156"/>
      <c r="FO463" s="157"/>
      <c r="FP463" s="158"/>
      <c r="FQ463" s="158"/>
      <c r="FR463" s="159"/>
      <c r="FS463" s="160"/>
      <c r="FT463" s="160"/>
      <c r="FU463" s="162"/>
      <c r="FV463" s="162"/>
      <c r="FW463" s="162"/>
      <c r="FX463" s="162"/>
      <c r="FY463" s="162"/>
      <c r="FZ463" s="162"/>
      <c r="GA463" s="162"/>
      <c r="GB463" s="162"/>
      <c r="GC463" s="162"/>
      <c r="GD463" s="162"/>
      <c r="GE463" s="162"/>
      <c r="GF463" s="162"/>
      <c r="GG463" s="162"/>
      <c r="GH463" s="162"/>
      <c r="GI463" s="162"/>
      <c r="GJ463" s="163"/>
      <c r="GK463" s="140"/>
      <c r="GL463" s="156"/>
      <c r="GM463" s="157"/>
      <c r="GN463" s="158"/>
      <c r="GO463" s="158"/>
      <c r="GP463" s="159"/>
      <c r="GQ463" s="160"/>
      <c r="GR463" s="160"/>
      <c r="GS463" s="162"/>
      <c r="GT463" s="162"/>
      <c r="GU463" s="162"/>
      <c r="GV463" s="162"/>
      <c r="GW463" s="162"/>
      <c r="GX463" s="162"/>
      <c r="GY463" s="162"/>
      <c r="GZ463" s="162"/>
      <c r="HA463" s="162"/>
      <c r="HB463" s="162"/>
      <c r="HC463" s="162"/>
      <c r="HD463" s="162"/>
      <c r="HE463" s="162"/>
      <c r="HF463" s="162"/>
      <c r="HG463" s="162"/>
      <c r="HH463" s="163"/>
      <c r="HI463" s="140"/>
      <c r="HJ463" s="156"/>
      <c r="HK463" s="157"/>
      <c r="HL463" s="158"/>
      <c r="HM463" s="158"/>
      <c r="HN463" s="159"/>
      <c r="HO463" s="160"/>
      <c r="HP463" s="160"/>
      <c r="HQ463" s="162"/>
      <c r="HR463" s="162"/>
      <c r="HS463" s="162"/>
      <c r="HT463" s="162"/>
      <c r="HU463" s="162"/>
      <c r="HV463" s="162"/>
      <c r="HW463" s="162"/>
      <c r="HX463" s="162"/>
      <c r="HY463" s="162"/>
      <c r="HZ463" s="162"/>
      <c r="IA463" s="162"/>
      <c r="IB463" s="162"/>
      <c r="IC463" s="162"/>
      <c r="ID463" s="162"/>
      <c r="IE463" s="162"/>
      <c r="IF463" s="163"/>
      <c r="IG463" s="140"/>
      <c r="IH463" s="156"/>
      <c r="II463" s="157"/>
      <c r="IJ463" s="158"/>
      <c r="IK463" s="158"/>
      <c r="IL463" s="159"/>
      <c r="IM463" s="160"/>
      <c r="IN463" s="160"/>
      <c r="IO463" s="162"/>
      <c r="IP463" s="162"/>
      <c r="IQ463" s="162"/>
      <c r="IR463" s="162"/>
      <c r="IS463" s="162"/>
      <c r="IT463" s="162"/>
      <c r="IU463" s="162"/>
      <c r="IV463" s="162"/>
    </row>
    <row r="464" spans="1:256" s="141" customFormat="1" ht="30" x14ac:dyDescent="0.25">
      <c r="A464" s="138">
        <v>28.1</v>
      </c>
      <c r="B464" s="165"/>
      <c r="C464" s="110"/>
      <c r="D464" s="80" t="s">
        <v>324</v>
      </c>
      <c r="E464" s="80"/>
      <c r="F464" s="110">
        <v>796</v>
      </c>
      <c r="G464" s="81" t="s">
        <v>17</v>
      </c>
      <c r="H464" s="129">
        <v>40</v>
      </c>
      <c r="I464" s="151">
        <v>98401</v>
      </c>
      <c r="J464" s="83" t="s">
        <v>429</v>
      </c>
      <c r="K464" s="26">
        <v>100000</v>
      </c>
      <c r="L464" s="133"/>
      <c r="M464" s="133"/>
      <c r="N464" s="133"/>
      <c r="O464" s="133"/>
      <c r="P464" s="82"/>
      <c r="Q464" s="64"/>
      <c r="R464" s="83"/>
      <c r="S464" s="64"/>
      <c r="T464" s="83">
        <v>40</v>
      </c>
      <c r="U464" s="26">
        <v>100000</v>
      </c>
      <c r="V464" s="24"/>
      <c r="W464" s="76"/>
      <c r="X464" s="64"/>
      <c r="Y464" s="168"/>
      <c r="Z464" s="168"/>
      <c r="AA464" s="168"/>
      <c r="AB464" s="168"/>
      <c r="AC464" s="168"/>
      <c r="AD464" s="168"/>
      <c r="AE464" s="168"/>
    </row>
    <row r="465" spans="1:256" s="141" customFormat="1" ht="30" x14ac:dyDescent="0.25">
      <c r="A465" s="138">
        <v>28.2</v>
      </c>
      <c r="B465" s="165" t="s">
        <v>411</v>
      </c>
      <c r="C465" s="110">
        <v>1810000</v>
      </c>
      <c r="D465" s="80" t="s">
        <v>325</v>
      </c>
      <c r="E465" s="80"/>
      <c r="F465" s="110">
        <v>796</v>
      </c>
      <c r="G465" s="81" t="s">
        <v>17</v>
      </c>
      <c r="H465" s="129">
        <v>1</v>
      </c>
      <c r="I465" s="151">
        <v>98401</v>
      </c>
      <c r="J465" s="83" t="s">
        <v>429</v>
      </c>
      <c r="K465" s="26">
        <v>50000</v>
      </c>
      <c r="L465" s="133"/>
      <c r="M465" s="133"/>
      <c r="N465" s="133"/>
      <c r="O465" s="133"/>
      <c r="P465" s="82"/>
      <c r="Q465" s="64"/>
      <c r="R465" s="83">
        <v>1</v>
      </c>
      <c r="S465" s="26">
        <v>25000</v>
      </c>
      <c r="T465" s="83"/>
      <c r="U465" s="26"/>
      <c r="V465" s="24">
        <v>1</v>
      </c>
      <c r="W465" s="66">
        <v>25000</v>
      </c>
      <c r="X465" s="64"/>
      <c r="Y465" s="168"/>
      <c r="Z465" s="168"/>
      <c r="AA465" s="168"/>
      <c r="AB465" s="168"/>
      <c r="AC465" s="168"/>
      <c r="AD465" s="168"/>
      <c r="AE465" s="168"/>
    </row>
    <row r="466" spans="1:256" s="141" customFormat="1" x14ac:dyDescent="0.25">
      <c r="A466" s="138">
        <v>28.3</v>
      </c>
      <c r="B466" s="165"/>
      <c r="C466" s="110"/>
      <c r="D466" s="80" t="s">
        <v>326</v>
      </c>
      <c r="E466" s="80"/>
      <c r="F466" s="110">
        <v>796</v>
      </c>
      <c r="G466" s="81" t="s">
        <v>17</v>
      </c>
      <c r="H466" s="129">
        <v>50</v>
      </c>
      <c r="I466" s="151">
        <v>98401</v>
      </c>
      <c r="J466" s="83" t="s">
        <v>429</v>
      </c>
      <c r="K466" s="26">
        <v>250000</v>
      </c>
      <c r="L466" s="133"/>
      <c r="M466" s="133"/>
      <c r="N466" s="133"/>
      <c r="O466" s="133"/>
      <c r="P466" s="82"/>
      <c r="Q466" s="64"/>
      <c r="R466" s="83"/>
      <c r="S466" s="26"/>
      <c r="T466" s="83"/>
      <c r="U466" s="26"/>
      <c r="V466" s="24">
        <v>50</v>
      </c>
      <c r="W466" s="66">
        <v>250000</v>
      </c>
      <c r="X466" s="64"/>
      <c r="Y466" s="168"/>
      <c r="Z466" s="168"/>
      <c r="AA466" s="168"/>
      <c r="AB466" s="168"/>
      <c r="AC466" s="168"/>
      <c r="AD466" s="168"/>
      <c r="AE466" s="168"/>
    </row>
    <row r="467" spans="1:256" s="141" customFormat="1" x14ac:dyDescent="0.25">
      <c r="A467" s="138">
        <v>28.4</v>
      </c>
      <c r="B467" s="165" t="s">
        <v>419</v>
      </c>
      <c r="C467" s="110">
        <v>6611020</v>
      </c>
      <c r="D467" s="80" t="s">
        <v>337</v>
      </c>
      <c r="E467" s="80"/>
      <c r="F467" s="114">
        <v>792</v>
      </c>
      <c r="G467" s="81" t="s">
        <v>103</v>
      </c>
      <c r="H467" s="129">
        <v>18</v>
      </c>
      <c r="I467" s="151">
        <v>98401</v>
      </c>
      <c r="J467" s="83" t="s">
        <v>429</v>
      </c>
      <c r="K467" s="26">
        <v>500000</v>
      </c>
      <c r="L467" s="133"/>
      <c r="M467" s="133"/>
      <c r="N467" s="133"/>
      <c r="O467" s="133"/>
      <c r="P467" s="82"/>
      <c r="Q467" s="64"/>
      <c r="R467" s="83"/>
      <c r="S467" s="26"/>
      <c r="T467" s="83">
        <v>18</v>
      </c>
      <c r="U467" s="26">
        <v>500000</v>
      </c>
      <c r="V467" s="24"/>
      <c r="W467" s="66"/>
      <c r="X467" s="64"/>
      <c r="Y467" s="168"/>
      <c r="Z467" s="168"/>
      <c r="AA467" s="168"/>
      <c r="AB467" s="168"/>
      <c r="AC467" s="168"/>
      <c r="AD467" s="168"/>
      <c r="AE467" s="168"/>
    </row>
    <row r="468" spans="1:256" s="141" customFormat="1" x14ac:dyDescent="0.25">
      <c r="A468" s="138">
        <v>28.5</v>
      </c>
      <c r="B468" s="165" t="s">
        <v>420</v>
      </c>
      <c r="C468" s="110"/>
      <c r="D468" s="80" t="s">
        <v>343</v>
      </c>
      <c r="E468" s="80"/>
      <c r="F468" s="110">
        <v>796</v>
      </c>
      <c r="G468" s="81" t="s">
        <v>17</v>
      </c>
      <c r="H468" s="129">
        <v>26</v>
      </c>
      <c r="I468" s="151">
        <v>98401</v>
      </c>
      <c r="J468" s="83" t="s">
        <v>429</v>
      </c>
      <c r="K468" s="26">
        <v>42885</v>
      </c>
      <c r="L468" s="133"/>
      <c r="M468" s="133"/>
      <c r="N468" s="133"/>
      <c r="O468" s="133"/>
      <c r="P468" s="82"/>
      <c r="Q468" s="64"/>
      <c r="R468" s="83"/>
      <c r="S468" s="26"/>
      <c r="T468" s="83">
        <v>26</v>
      </c>
      <c r="U468" s="26">
        <v>42885</v>
      </c>
      <c r="V468" s="24"/>
      <c r="W468" s="66"/>
      <c r="X468" s="64"/>
      <c r="Y468" s="168"/>
      <c r="Z468" s="168"/>
      <c r="AA468" s="168"/>
      <c r="AB468" s="168"/>
      <c r="AC468" s="168"/>
      <c r="AD468" s="168"/>
      <c r="AE468" s="168"/>
    </row>
    <row r="469" spans="1:256" s="141" customFormat="1" x14ac:dyDescent="0.25">
      <c r="A469" s="138">
        <v>28.6</v>
      </c>
      <c r="B469" s="165"/>
      <c r="C469" s="110"/>
      <c r="D469" s="80" t="s">
        <v>354</v>
      </c>
      <c r="E469" s="80"/>
      <c r="F469" s="114"/>
      <c r="G469" s="81"/>
      <c r="H469" s="129"/>
      <c r="I469" s="151">
        <v>98401</v>
      </c>
      <c r="J469" s="83" t="s">
        <v>429</v>
      </c>
      <c r="K469" s="26">
        <v>113400</v>
      </c>
      <c r="L469" s="133"/>
      <c r="M469" s="133"/>
      <c r="N469" s="133"/>
      <c r="O469" s="133"/>
      <c r="P469" s="82"/>
      <c r="Q469" s="64"/>
      <c r="R469" s="83"/>
      <c r="S469" s="26">
        <v>45000</v>
      </c>
      <c r="T469" s="83"/>
      <c r="U469" s="26">
        <v>34200</v>
      </c>
      <c r="V469" s="24"/>
      <c r="W469" s="66">
        <v>34200</v>
      </c>
      <c r="X469" s="64"/>
      <c r="Y469" s="168"/>
      <c r="Z469" s="168"/>
      <c r="AA469" s="168"/>
      <c r="AB469" s="168"/>
      <c r="AC469" s="168"/>
      <c r="AD469" s="168"/>
      <c r="AE469" s="168"/>
    </row>
    <row r="470" spans="1:256" s="141" customFormat="1" x14ac:dyDescent="0.25">
      <c r="A470" s="138"/>
      <c r="B470" s="165"/>
      <c r="C470" s="110"/>
      <c r="D470" s="215"/>
      <c r="E470" s="215"/>
      <c r="F470" s="197"/>
      <c r="G470" s="81"/>
      <c r="H470" s="129"/>
      <c r="I470" s="154"/>
      <c r="J470" s="66"/>
      <c r="K470" s="64">
        <v>1056285</v>
      </c>
      <c r="L470" s="134"/>
      <c r="M470" s="134"/>
      <c r="N470" s="134"/>
      <c r="O470" s="134"/>
      <c r="P470" s="82"/>
      <c r="Q470" s="64"/>
      <c r="R470" s="83"/>
      <c r="S470" s="64">
        <v>70000</v>
      </c>
      <c r="T470" s="83"/>
      <c r="U470" s="64">
        <v>677085</v>
      </c>
      <c r="V470" s="24"/>
      <c r="W470" s="76">
        <v>309200</v>
      </c>
      <c r="X470" s="64"/>
      <c r="Y470" s="171"/>
      <c r="Z470" s="168"/>
      <c r="AA470" s="168"/>
      <c r="AB470" s="168"/>
      <c r="AC470" s="168"/>
      <c r="AD470" s="168"/>
      <c r="AE470" s="168"/>
    </row>
    <row r="471" spans="1:256" s="141" customFormat="1" x14ac:dyDescent="0.25">
      <c r="A471" s="138"/>
      <c r="B471" s="165"/>
      <c r="C471" s="110"/>
      <c r="D471" s="215"/>
      <c r="E471" s="215"/>
      <c r="F471" s="197"/>
      <c r="G471" s="81"/>
      <c r="H471" s="129"/>
      <c r="I471" s="154"/>
      <c r="J471" s="66"/>
      <c r="K471" s="64"/>
      <c r="L471" s="134"/>
      <c r="M471" s="134"/>
      <c r="N471" s="134"/>
      <c r="O471" s="134"/>
      <c r="P471" s="82"/>
      <c r="Q471" s="64"/>
      <c r="R471" s="83"/>
      <c r="S471" s="64"/>
      <c r="T471" s="83"/>
      <c r="U471" s="64"/>
      <c r="V471" s="24"/>
      <c r="W471" s="76"/>
      <c r="X471" s="64"/>
      <c r="Y471" s="168"/>
      <c r="Z471" s="168"/>
      <c r="AA471" s="168"/>
      <c r="AB471" s="168"/>
      <c r="AC471" s="168"/>
      <c r="AD471" s="168"/>
      <c r="AE471" s="168"/>
    </row>
    <row r="472" spans="1:256" s="164" customFormat="1" ht="28.5" x14ac:dyDescent="0.2">
      <c r="A472" s="140">
        <v>29</v>
      </c>
      <c r="B472" s="156"/>
      <c r="C472" s="157"/>
      <c r="D472" s="158" t="s">
        <v>327</v>
      </c>
      <c r="E472" s="158"/>
      <c r="F472" s="159">
        <v>796</v>
      </c>
      <c r="G472" s="160" t="s">
        <v>17</v>
      </c>
      <c r="H472" s="160">
        <v>51</v>
      </c>
      <c r="I472" s="161">
        <v>98401</v>
      </c>
      <c r="J472" s="162" t="s">
        <v>429</v>
      </c>
      <c r="K472" s="162">
        <v>295000</v>
      </c>
      <c r="L472" s="162"/>
      <c r="M472" s="162"/>
      <c r="N472" s="162"/>
      <c r="O472" s="162"/>
      <c r="P472" s="162"/>
      <c r="Q472" s="162"/>
      <c r="R472" s="162">
        <v>149</v>
      </c>
      <c r="S472" s="162">
        <v>295000</v>
      </c>
      <c r="T472" s="162"/>
      <c r="U472" s="162"/>
      <c r="V472" s="162"/>
      <c r="W472" s="162"/>
      <c r="X472" s="163"/>
      <c r="Y472" s="140"/>
      <c r="Z472" s="156"/>
      <c r="AA472" s="157"/>
      <c r="AB472" s="158"/>
      <c r="AC472" s="158"/>
      <c r="AD472" s="159"/>
      <c r="AE472" s="160"/>
      <c r="AF472" s="160"/>
      <c r="AG472" s="162"/>
      <c r="AH472" s="162"/>
      <c r="AI472" s="162"/>
      <c r="AJ472" s="162"/>
      <c r="AK472" s="162"/>
      <c r="AL472" s="162"/>
      <c r="AM472" s="162"/>
      <c r="AN472" s="162"/>
      <c r="AO472" s="162"/>
      <c r="AP472" s="162"/>
      <c r="AQ472" s="162"/>
      <c r="AR472" s="162"/>
      <c r="AS472" s="162"/>
      <c r="AT472" s="162"/>
      <c r="AU472" s="162"/>
      <c r="AV472" s="163"/>
      <c r="AW472" s="140"/>
      <c r="AX472" s="156"/>
      <c r="AY472" s="157"/>
      <c r="AZ472" s="158"/>
      <c r="BA472" s="158"/>
      <c r="BB472" s="159"/>
      <c r="BC472" s="160"/>
      <c r="BD472" s="160"/>
      <c r="BE472" s="162"/>
      <c r="BF472" s="162"/>
      <c r="BG472" s="162"/>
      <c r="BH472" s="162"/>
      <c r="BI472" s="162"/>
      <c r="BJ472" s="162"/>
      <c r="BK472" s="162"/>
      <c r="BL472" s="162"/>
      <c r="BM472" s="162"/>
      <c r="BN472" s="162"/>
      <c r="BO472" s="162"/>
      <c r="BP472" s="162"/>
      <c r="BQ472" s="162"/>
      <c r="BR472" s="162"/>
      <c r="BS472" s="162"/>
      <c r="BT472" s="163"/>
      <c r="BU472" s="140"/>
      <c r="BV472" s="156"/>
      <c r="BW472" s="157"/>
      <c r="BX472" s="158"/>
      <c r="BY472" s="158"/>
      <c r="BZ472" s="159"/>
      <c r="CA472" s="160"/>
      <c r="CB472" s="160"/>
      <c r="CC472" s="162"/>
      <c r="CD472" s="162"/>
      <c r="CE472" s="162"/>
      <c r="CF472" s="162"/>
      <c r="CG472" s="162"/>
      <c r="CH472" s="162"/>
      <c r="CI472" s="162"/>
      <c r="CJ472" s="162"/>
      <c r="CK472" s="162"/>
      <c r="CL472" s="162"/>
      <c r="CM472" s="162"/>
      <c r="CN472" s="162"/>
      <c r="CO472" s="162"/>
      <c r="CP472" s="162"/>
      <c r="CQ472" s="162"/>
      <c r="CR472" s="163"/>
      <c r="CS472" s="140"/>
      <c r="CT472" s="156"/>
      <c r="CU472" s="157"/>
      <c r="CV472" s="158"/>
      <c r="CW472" s="158"/>
      <c r="CX472" s="159"/>
      <c r="CY472" s="160"/>
      <c r="CZ472" s="160"/>
      <c r="DA472" s="162"/>
      <c r="DB472" s="162"/>
      <c r="DC472" s="162"/>
      <c r="DD472" s="162"/>
      <c r="DE472" s="162"/>
      <c r="DF472" s="162"/>
      <c r="DG472" s="162"/>
      <c r="DH472" s="162"/>
      <c r="DI472" s="162"/>
      <c r="DJ472" s="162"/>
      <c r="DK472" s="162"/>
      <c r="DL472" s="162"/>
      <c r="DM472" s="162"/>
      <c r="DN472" s="162"/>
      <c r="DO472" s="162"/>
      <c r="DP472" s="163"/>
      <c r="DQ472" s="140"/>
      <c r="DR472" s="156"/>
      <c r="DS472" s="157"/>
      <c r="DT472" s="158"/>
      <c r="DU472" s="158"/>
      <c r="DV472" s="159"/>
      <c r="DW472" s="160"/>
      <c r="DX472" s="160"/>
      <c r="DY472" s="162"/>
      <c r="DZ472" s="162"/>
      <c r="EA472" s="162"/>
      <c r="EB472" s="162"/>
      <c r="EC472" s="162"/>
      <c r="ED472" s="162"/>
      <c r="EE472" s="162"/>
      <c r="EF472" s="162"/>
      <c r="EG472" s="162"/>
      <c r="EH472" s="162"/>
      <c r="EI472" s="162"/>
      <c r="EJ472" s="162"/>
      <c r="EK472" s="162"/>
      <c r="EL472" s="162"/>
      <c r="EM472" s="162"/>
      <c r="EN472" s="163"/>
      <c r="EO472" s="140"/>
      <c r="EP472" s="156"/>
      <c r="EQ472" s="157"/>
      <c r="ER472" s="158"/>
      <c r="ES472" s="158"/>
      <c r="ET472" s="159"/>
      <c r="EU472" s="160"/>
      <c r="EV472" s="160"/>
      <c r="EW472" s="162"/>
      <c r="EX472" s="162"/>
      <c r="EY472" s="162"/>
      <c r="EZ472" s="162"/>
      <c r="FA472" s="162"/>
      <c r="FB472" s="162"/>
      <c r="FC472" s="162"/>
      <c r="FD472" s="162"/>
      <c r="FE472" s="162"/>
      <c r="FF472" s="162"/>
      <c r="FG472" s="162"/>
      <c r="FH472" s="162"/>
      <c r="FI472" s="162"/>
      <c r="FJ472" s="162"/>
      <c r="FK472" s="162"/>
      <c r="FL472" s="163"/>
      <c r="FM472" s="140"/>
      <c r="FN472" s="156"/>
      <c r="FO472" s="157"/>
      <c r="FP472" s="158"/>
      <c r="FQ472" s="158"/>
      <c r="FR472" s="159"/>
      <c r="FS472" s="160"/>
      <c r="FT472" s="160"/>
      <c r="FU472" s="162"/>
      <c r="FV472" s="162"/>
      <c r="FW472" s="162"/>
      <c r="FX472" s="162"/>
      <c r="FY472" s="162"/>
      <c r="FZ472" s="162"/>
      <c r="GA472" s="162"/>
      <c r="GB472" s="162"/>
      <c r="GC472" s="162"/>
      <c r="GD472" s="162"/>
      <c r="GE472" s="162"/>
      <c r="GF472" s="162"/>
      <c r="GG472" s="162"/>
      <c r="GH472" s="162"/>
      <c r="GI472" s="162"/>
      <c r="GJ472" s="163"/>
      <c r="GK472" s="140"/>
      <c r="GL472" s="156"/>
      <c r="GM472" s="157"/>
      <c r="GN472" s="158"/>
      <c r="GO472" s="158"/>
      <c r="GP472" s="159"/>
      <c r="GQ472" s="160"/>
      <c r="GR472" s="160"/>
      <c r="GS472" s="162"/>
      <c r="GT472" s="162"/>
      <c r="GU472" s="162"/>
      <c r="GV472" s="162"/>
      <c r="GW472" s="162"/>
      <c r="GX472" s="162"/>
      <c r="GY472" s="162"/>
      <c r="GZ472" s="162"/>
      <c r="HA472" s="162"/>
      <c r="HB472" s="162"/>
      <c r="HC472" s="162"/>
      <c r="HD472" s="162"/>
      <c r="HE472" s="162"/>
      <c r="HF472" s="162"/>
      <c r="HG472" s="162"/>
      <c r="HH472" s="163"/>
      <c r="HI472" s="140"/>
      <c r="HJ472" s="156"/>
      <c r="HK472" s="157"/>
      <c r="HL472" s="158"/>
      <c r="HM472" s="158"/>
      <c r="HN472" s="159"/>
      <c r="HO472" s="160"/>
      <c r="HP472" s="160"/>
      <c r="HQ472" s="162"/>
      <c r="HR472" s="162"/>
      <c r="HS472" s="162"/>
      <c r="HT472" s="162"/>
      <c r="HU472" s="162"/>
      <c r="HV472" s="162"/>
      <c r="HW472" s="162"/>
      <c r="HX472" s="162"/>
      <c r="HY472" s="162"/>
      <c r="HZ472" s="162"/>
      <c r="IA472" s="162"/>
      <c r="IB472" s="162"/>
      <c r="IC472" s="162"/>
      <c r="ID472" s="162"/>
      <c r="IE472" s="162"/>
      <c r="IF472" s="163"/>
      <c r="IG472" s="140"/>
      <c r="IH472" s="156"/>
      <c r="II472" s="157"/>
      <c r="IJ472" s="158"/>
      <c r="IK472" s="158"/>
      <c r="IL472" s="159"/>
      <c r="IM472" s="160"/>
      <c r="IN472" s="160"/>
      <c r="IO472" s="162"/>
      <c r="IP472" s="162"/>
      <c r="IQ472" s="162"/>
      <c r="IR472" s="162"/>
      <c r="IS472" s="162"/>
      <c r="IT472" s="162"/>
      <c r="IU472" s="162"/>
      <c r="IV472" s="162"/>
    </row>
    <row r="473" spans="1:256" s="141" customFormat="1" x14ac:dyDescent="0.25">
      <c r="A473" s="138"/>
      <c r="B473" s="165"/>
      <c r="C473" s="110"/>
      <c r="D473" s="215"/>
      <c r="E473" s="215"/>
      <c r="F473" s="197"/>
      <c r="G473" s="81"/>
      <c r="H473" s="129"/>
      <c r="I473" s="154"/>
      <c r="J473" s="66"/>
      <c r="K473" s="64"/>
      <c r="L473" s="134"/>
      <c r="M473" s="134"/>
      <c r="N473" s="134"/>
      <c r="O473" s="134"/>
      <c r="P473" s="216"/>
      <c r="Q473" s="64"/>
      <c r="R473" s="83"/>
      <c r="S473" s="64"/>
      <c r="T473" s="83"/>
      <c r="U473" s="64"/>
      <c r="V473" s="24"/>
      <c r="W473" s="76"/>
      <c r="X473" s="64"/>
      <c r="Y473" s="168"/>
      <c r="Z473" s="168"/>
      <c r="AA473" s="168"/>
      <c r="AB473" s="168"/>
      <c r="AC473" s="168"/>
      <c r="AD473" s="168"/>
      <c r="AE473" s="168"/>
    </row>
    <row r="474" spans="1:256" s="164" customFormat="1" ht="14.25" x14ac:dyDescent="0.2">
      <c r="A474" s="140"/>
      <c r="B474" s="156"/>
      <c r="C474" s="157"/>
      <c r="D474" s="158" t="s">
        <v>328</v>
      </c>
      <c r="E474" s="158"/>
      <c r="F474" s="159"/>
      <c r="G474" s="160"/>
      <c r="H474" s="160"/>
      <c r="I474" s="161"/>
      <c r="J474" s="162"/>
      <c r="K474" s="162">
        <v>66047939.59271203</v>
      </c>
      <c r="L474" s="162"/>
      <c r="M474" s="162"/>
      <c r="N474" s="162"/>
      <c r="O474" s="162"/>
      <c r="P474" s="162"/>
      <c r="Q474" s="162">
        <v>20345304.986256219</v>
      </c>
      <c r="R474" s="162"/>
      <c r="S474" s="162">
        <v>5709651.5</v>
      </c>
      <c r="T474" s="162"/>
      <c r="U474" s="162">
        <v>12111358.99</v>
      </c>
      <c r="V474" s="162"/>
      <c r="W474" s="162">
        <v>28301277.949999999</v>
      </c>
      <c r="X474" s="163"/>
      <c r="Y474" s="140"/>
      <c r="Z474" s="156"/>
      <c r="AA474" s="157"/>
      <c r="AB474" s="158"/>
      <c r="AC474" s="158"/>
      <c r="AD474" s="159"/>
      <c r="AE474" s="160"/>
      <c r="AF474" s="160"/>
      <c r="AG474" s="162"/>
      <c r="AH474" s="162"/>
      <c r="AI474" s="162"/>
      <c r="AJ474" s="162"/>
      <c r="AK474" s="162"/>
      <c r="AL474" s="162"/>
      <c r="AM474" s="162"/>
      <c r="AN474" s="162"/>
      <c r="AO474" s="162"/>
      <c r="AP474" s="162"/>
      <c r="AQ474" s="162"/>
      <c r="AR474" s="162"/>
      <c r="AS474" s="162"/>
      <c r="AT474" s="162"/>
      <c r="AU474" s="162"/>
      <c r="AV474" s="163"/>
      <c r="AW474" s="140"/>
      <c r="AX474" s="156"/>
      <c r="AY474" s="157"/>
      <c r="AZ474" s="158"/>
      <c r="BA474" s="158"/>
      <c r="BB474" s="159"/>
      <c r="BC474" s="160"/>
      <c r="BD474" s="160"/>
      <c r="BE474" s="162"/>
      <c r="BF474" s="162"/>
      <c r="BG474" s="162"/>
      <c r="BH474" s="162"/>
      <c r="BI474" s="162"/>
      <c r="BJ474" s="162"/>
      <c r="BK474" s="162"/>
      <c r="BL474" s="162"/>
      <c r="BM474" s="162"/>
      <c r="BN474" s="162"/>
      <c r="BO474" s="162"/>
      <c r="BP474" s="162"/>
      <c r="BQ474" s="162"/>
      <c r="BR474" s="162"/>
      <c r="BS474" s="162"/>
      <c r="BT474" s="163"/>
      <c r="BU474" s="140"/>
      <c r="BV474" s="156"/>
      <c r="BW474" s="157"/>
      <c r="BX474" s="158"/>
      <c r="BY474" s="158"/>
      <c r="BZ474" s="159"/>
      <c r="CA474" s="160"/>
      <c r="CB474" s="160"/>
      <c r="CC474" s="162"/>
      <c r="CD474" s="162"/>
      <c r="CE474" s="162"/>
      <c r="CF474" s="162"/>
      <c r="CG474" s="162"/>
      <c r="CH474" s="162"/>
      <c r="CI474" s="162"/>
      <c r="CJ474" s="162"/>
      <c r="CK474" s="162"/>
      <c r="CL474" s="162"/>
      <c r="CM474" s="162"/>
      <c r="CN474" s="162"/>
      <c r="CO474" s="162"/>
      <c r="CP474" s="162"/>
      <c r="CQ474" s="162"/>
      <c r="CR474" s="163"/>
      <c r="CS474" s="140"/>
      <c r="CT474" s="156"/>
      <c r="CU474" s="157"/>
      <c r="CV474" s="158"/>
      <c r="CW474" s="158"/>
      <c r="CX474" s="159"/>
      <c r="CY474" s="160"/>
      <c r="CZ474" s="160"/>
      <c r="DA474" s="162"/>
      <c r="DB474" s="162"/>
      <c r="DC474" s="162"/>
      <c r="DD474" s="162"/>
      <c r="DE474" s="162"/>
      <c r="DF474" s="162"/>
      <c r="DG474" s="162"/>
      <c r="DH474" s="162"/>
      <c r="DI474" s="162"/>
      <c r="DJ474" s="162"/>
      <c r="DK474" s="162"/>
      <c r="DL474" s="162"/>
      <c r="DM474" s="162"/>
      <c r="DN474" s="162"/>
      <c r="DO474" s="162"/>
      <c r="DP474" s="163"/>
      <c r="DQ474" s="140"/>
      <c r="DR474" s="156"/>
      <c r="DS474" s="157"/>
      <c r="DT474" s="158"/>
      <c r="DU474" s="158"/>
      <c r="DV474" s="159"/>
      <c r="DW474" s="160"/>
      <c r="DX474" s="160"/>
      <c r="DY474" s="162"/>
      <c r="DZ474" s="162"/>
      <c r="EA474" s="162"/>
      <c r="EB474" s="162"/>
      <c r="EC474" s="162"/>
      <c r="ED474" s="162"/>
      <c r="EE474" s="162"/>
      <c r="EF474" s="162"/>
      <c r="EG474" s="162"/>
      <c r="EH474" s="162"/>
      <c r="EI474" s="162"/>
      <c r="EJ474" s="162"/>
      <c r="EK474" s="162"/>
      <c r="EL474" s="162"/>
      <c r="EM474" s="162"/>
      <c r="EN474" s="163"/>
      <c r="EO474" s="140"/>
      <c r="EP474" s="156"/>
      <c r="EQ474" s="157"/>
      <c r="ER474" s="158"/>
      <c r="ES474" s="158"/>
      <c r="ET474" s="159"/>
      <c r="EU474" s="160"/>
      <c r="EV474" s="160"/>
      <c r="EW474" s="162"/>
      <c r="EX474" s="162"/>
      <c r="EY474" s="162"/>
      <c r="EZ474" s="162"/>
      <c r="FA474" s="162"/>
      <c r="FB474" s="162"/>
      <c r="FC474" s="162"/>
      <c r="FD474" s="162"/>
      <c r="FE474" s="162"/>
      <c r="FF474" s="162"/>
      <c r="FG474" s="162"/>
      <c r="FH474" s="162"/>
      <c r="FI474" s="162"/>
      <c r="FJ474" s="162"/>
      <c r="FK474" s="162"/>
      <c r="FL474" s="163"/>
      <c r="FM474" s="140"/>
      <c r="FN474" s="156"/>
      <c r="FO474" s="157"/>
      <c r="FP474" s="158"/>
      <c r="FQ474" s="158"/>
      <c r="FR474" s="159"/>
      <c r="FS474" s="160"/>
      <c r="FT474" s="160"/>
      <c r="FU474" s="162"/>
      <c r="FV474" s="162"/>
      <c r="FW474" s="162"/>
      <c r="FX474" s="162"/>
      <c r="FY474" s="162"/>
      <c r="FZ474" s="162"/>
      <c r="GA474" s="162"/>
      <c r="GB474" s="162"/>
      <c r="GC474" s="162"/>
      <c r="GD474" s="162"/>
      <c r="GE474" s="162"/>
      <c r="GF474" s="162"/>
      <c r="GG474" s="162"/>
      <c r="GH474" s="162"/>
      <c r="GI474" s="162"/>
      <c r="GJ474" s="163"/>
      <c r="GK474" s="140"/>
      <c r="GL474" s="156"/>
      <c r="GM474" s="157"/>
      <c r="GN474" s="158"/>
      <c r="GO474" s="158"/>
      <c r="GP474" s="159"/>
      <c r="GQ474" s="160"/>
      <c r="GR474" s="160"/>
      <c r="GS474" s="162"/>
      <c r="GT474" s="162"/>
      <c r="GU474" s="162"/>
      <c r="GV474" s="162"/>
      <c r="GW474" s="162"/>
      <c r="GX474" s="162"/>
      <c r="GY474" s="162"/>
      <c r="GZ474" s="162"/>
      <c r="HA474" s="162"/>
      <c r="HB474" s="162"/>
      <c r="HC474" s="162"/>
      <c r="HD474" s="162"/>
      <c r="HE474" s="162"/>
      <c r="HF474" s="162"/>
      <c r="HG474" s="162"/>
      <c r="HH474" s="163"/>
      <c r="HI474" s="140"/>
      <c r="HJ474" s="156"/>
      <c r="HK474" s="157"/>
      <c r="HL474" s="158"/>
      <c r="HM474" s="158"/>
      <c r="HN474" s="159"/>
      <c r="HO474" s="160"/>
      <c r="HP474" s="160"/>
      <c r="HQ474" s="162"/>
      <c r="HR474" s="162"/>
      <c r="HS474" s="162"/>
      <c r="HT474" s="162"/>
      <c r="HU474" s="162"/>
      <c r="HV474" s="162"/>
      <c r="HW474" s="162"/>
      <c r="HX474" s="162"/>
      <c r="HY474" s="162"/>
      <c r="HZ474" s="162"/>
      <c r="IA474" s="162"/>
      <c r="IB474" s="162"/>
      <c r="IC474" s="162"/>
      <c r="ID474" s="162"/>
      <c r="IE474" s="162"/>
      <c r="IF474" s="163"/>
      <c r="IG474" s="140"/>
      <c r="IH474" s="156"/>
      <c r="II474" s="157"/>
      <c r="IJ474" s="158"/>
      <c r="IK474" s="158"/>
      <c r="IL474" s="159"/>
      <c r="IM474" s="160"/>
      <c r="IN474" s="160"/>
      <c r="IO474" s="162"/>
      <c r="IP474" s="162"/>
      <c r="IQ474" s="162"/>
      <c r="IR474" s="162"/>
      <c r="IS474" s="162"/>
      <c r="IT474" s="162"/>
      <c r="IU474" s="162"/>
      <c r="IV474" s="162"/>
    </row>
    <row r="475" spans="1:256" x14ac:dyDescent="0.25">
      <c r="A475" s="2"/>
      <c r="B475" s="127"/>
      <c r="D475" s="3"/>
      <c r="E475" s="3"/>
      <c r="F475" s="44"/>
      <c r="G475" s="2"/>
      <c r="K475" s="78"/>
      <c r="L475" s="78"/>
      <c r="M475" s="78"/>
      <c r="N475" s="78"/>
      <c r="O475" s="78"/>
    </row>
    <row r="476" spans="1:256" x14ac:dyDescent="0.25">
      <c r="A476" s="2"/>
      <c r="B476" s="127"/>
      <c r="D476" s="3"/>
      <c r="E476" s="3"/>
      <c r="F476" s="44"/>
      <c r="G476" s="2"/>
      <c r="K476" s="78"/>
      <c r="L476" s="78"/>
      <c r="M476" s="78"/>
      <c r="N476" s="78"/>
      <c r="O476" s="78"/>
    </row>
    <row r="477" spans="1:256" x14ac:dyDescent="0.25">
      <c r="A477" s="2"/>
      <c r="B477" s="127"/>
      <c r="D477" s="3"/>
      <c r="E477" s="3"/>
      <c r="F477" s="44"/>
      <c r="G477" s="2"/>
      <c r="K477" s="78"/>
      <c r="L477" s="78"/>
      <c r="M477" s="78"/>
      <c r="N477" s="78"/>
      <c r="O477" s="78"/>
    </row>
    <row r="478" spans="1:256" x14ac:dyDescent="0.25">
      <c r="A478" s="2"/>
      <c r="B478" s="127"/>
      <c r="D478" s="3"/>
      <c r="E478" s="3"/>
      <c r="F478" s="44"/>
      <c r="G478" s="2"/>
    </row>
    <row r="479" spans="1:256" x14ac:dyDescent="0.25">
      <c r="A479" s="2"/>
      <c r="B479" s="127"/>
      <c r="D479" s="3"/>
      <c r="E479" s="3"/>
      <c r="F479" s="44"/>
      <c r="G479" s="2"/>
    </row>
    <row r="480" spans="1:256" x14ac:dyDescent="0.25">
      <c r="A480" s="2"/>
      <c r="B480" s="127"/>
      <c r="D480" s="3"/>
      <c r="E480" s="3"/>
      <c r="F480" s="44"/>
      <c r="G480" s="2"/>
    </row>
    <row r="481" spans="1:7" x14ac:dyDescent="0.25">
      <c r="A481" s="2"/>
      <c r="B481" s="127"/>
      <c r="D481" s="3"/>
      <c r="E481" s="3"/>
      <c r="F481" s="44"/>
      <c r="G481" s="2"/>
    </row>
    <row r="482" spans="1:7" x14ac:dyDescent="0.25">
      <c r="A482" s="2"/>
      <c r="B482" s="127"/>
      <c r="D482" s="3"/>
      <c r="E482" s="3"/>
      <c r="F482" s="44"/>
      <c r="G482" s="2"/>
    </row>
    <row r="483" spans="1:7" x14ac:dyDescent="0.25">
      <c r="A483" s="2"/>
      <c r="B483" s="127"/>
      <c r="D483" s="3"/>
      <c r="E483" s="3"/>
      <c r="F483" s="44"/>
      <c r="G483" s="2"/>
    </row>
    <row r="484" spans="1:7" x14ac:dyDescent="0.25">
      <c r="A484" s="2"/>
      <c r="B484" s="127"/>
      <c r="D484" s="3"/>
      <c r="E484" s="3"/>
      <c r="F484" s="44"/>
      <c r="G484" s="2"/>
    </row>
    <row r="485" spans="1:7" x14ac:dyDescent="0.25">
      <c r="A485" s="2"/>
      <c r="B485" s="127"/>
      <c r="D485" s="3"/>
      <c r="E485" s="3"/>
      <c r="F485" s="44"/>
      <c r="G485" s="2"/>
    </row>
    <row r="486" spans="1:7" x14ac:dyDescent="0.25">
      <c r="A486" s="2"/>
      <c r="B486" s="127"/>
      <c r="D486" s="3"/>
      <c r="E486" s="3"/>
      <c r="F486" s="44"/>
      <c r="G486" s="2"/>
    </row>
    <row r="487" spans="1:7" x14ac:dyDescent="0.25">
      <c r="A487" s="2"/>
      <c r="B487" s="127"/>
      <c r="D487" s="3"/>
      <c r="E487" s="3"/>
      <c r="F487" s="44"/>
      <c r="G487" s="2"/>
    </row>
    <row r="488" spans="1:7" x14ac:dyDescent="0.25">
      <c r="A488" s="2"/>
      <c r="B488" s="127"/>
      <c r="D488" s="3"/>
      <c r="E488" s="3"/>
      <c r="F488" s="44"/>
      <c r="G488" s="2"/>
    </row>
    <row r="489" spans="1:7" x14ac:dyDescent="0.25">
      <c r="A489" s="2"/>
      <c r="B489" s="127"/>
      <c r="D489" s="3"/>
      <c r="E489" s="3"/>
      <c r="F489" s="44"/>
      <c r="G489" s="2"/>
    </row>
    <row r="490" spans="1:7" x14ac:dyDescent="0.25">
      <c r="A490" s="2"/>
      <c r="B490" s="127"/>
      <c r="D490" s="3"/>
      <c r="E490" s="3"/>
      <c r="F490" s="44"/>
      <c r="G490" s="2"/>
    </row>
    <row r="491" spans="1:7" x14ac:dyDescent="0.25">
      <c r="A491" s="2"/>
      <c r="B491" s="127"/>
      <c r="D491" s="3"/>
      <c r="E491" s="3"/>
      <c r="F491" s="44"/>
      <c r="G491" s="2"/>
    </row>
    <row r="492" spans="1:7" x14ac:dyDescent="0.25">
      <c r="A492" s="2"/>
      <c r="B492" s="127"/>
      <c r="D492" s="3"/>
      <c r="E492" s="3"/>
      <c r="F492" s="44"/>
      <c r="G492" s="2"/>
    </row>
    <row r="493" spans="1:7" x14ac:dyDescent="0.25">
      <c r="A493" s="2"/>
      <c r="B493" s="127"/>
      <c r="D493" s="3"/>
      <c r="E493" s="3"/>
      <c r="F493" s="44"/>
      <c r="G493" s="2"/>
    </row>
    <row r="494" spans="1:7" x14ac:dyDescent="0.25">
      <c r="A494" s="2"/>
      <c r="B494" s="127"/>
      <c r="D494" s="3"/>
      <c r="E494" s="3"/>
      <c r="F494" s="44"/>
      <c r="G494" s="2"/>
    </row>
    <row r="495" spans="1:7" x14ac:dyDescent="0.25">
      <c r="A495" s="2"/>
      <c r="B495" s="127"/>
      <c r="D495" s="3"/>
      <c r="E495" s="3"/>
      <c r="F495" s="44"/>
      <c r="G495" s="2"/>
    </row>
    <row r="496" spans="1:7" x14ac:dyDescent="0.25">
      <c r="A496" s="2"/>
      <c r="B496" s="127"/>
      <c r="D496" s="3"/>
      <c r="E496" s="3"/>
      <c r="F496" s="44"/>
      <c r="G496" s="2"/>
    </row>
    <row r="497" spans="1:7" x14ac:dyDescent="0.25">
      <c r="A497" s="2"/>
      <c r="B497" s="127"/>
      <c r="D497" s="3"/>
      <c r="E497" s="3"/>
      <c r="F497" s="44"/>
      <c r="G497" s="2"/>
    </row>
    <row r="498" spans="1:7" x14ac:dyDescent="0.25">
      <c r="A498" s="2"/>
      <c r="B498" s="127"/>
      <c r="D498" s="3"/>
      <c r="E498" s="3"/>
      <c r="F498" s="44"/>
      <c r="G498" s="2"/>
    </row>
    <row r="499" spans="1:7" x14ac:dyDescent="0.25">
      <c r="A499" s="2"/>
      <c r="B499" s="127"/>
      <c r="D499" s="3"/>
      <c r="E499" s="3"/>
      <c r="F499" s="44"/>
      <c r="G499" s="2"/>
    </row>
    <row r="500" spans="1:7" x14ac:dyDescent="0.25">
      <c r="A500" s="2"/>
      <c r="B500" s="127"/>
      <c r="D500" s="3"/>
      <c r="E500" s="3"/>
      <c r="F500" s="44"/>
      <c r="G500" s="2"/>
    </row>
    <row r="501" spans="1:7" x14ac:dyDescent="0.25">
      <c r="A501" s="2"/>
      <c r="B501" s="127"/>
      <c r="D501" s="3"/>
      <c r="E501" s="3"/>
      <c r="F501" s="44"/>
      <c r="G501" s="2"/>
    </row>
    <row r="502" spans="1:7" x14ac:dyDescent="0.25">
      <c r="A502" s="2"/>
      <c r="B502" s="127"/>
      <c r="D502" s="3"/>
      <c r="E502" s="3"/>
      <c r="F502" s="44"/>
      <c r="G502" s="2"/>
    </row>
    <row r="503" spans="1:7" x14ac:dyDescent="0.25">
      <c r="A503" s="2"/>
      <c r="B503" s="127"/>
      <c r="D503" s="3"/>
      <c r="E503" s="3"/>
      <c r="F503" s="44"/>
      <c r="G503" s="2"/>
    </row>
    <row r="504" spans="1:7" x14ac:dyDescent="0.25">
      <c r="A504" s="2"/>
      <c r="B504" s="127"/>
      <c r="D504" s="3"/>
      <c r="E504" s="3"/>
      <c r="F504" s="44"/>
      <c r="G504" s="2"/>
    </row>
    <row r="505" spans="1:7" x14ac:dyDescent="0.25">
      <c r="A505" s="2"/>
      <c r="B505" s="127"/>
      <c r="D505" s="3"/>
      <c r="E505" s="3"/>
      <c r="F505" s="44"/>
      <c r="G505" s="2"/>
    </row>
    <row r="506" spans="1:7" x14ac:dyDescent="0.25">
      <c r="A506" s="2"/>
      <c r="B506" s="127"/>
      <c r="D506" s="3"/>
      <c r="E506" s="3"/>
      <c r="F506" s="44"/>
      <c r="G506" s="2"/>
    </row>
    <row r="507" spans="1:7" x14ac:dyDescent="0.25">
      <c r="A507" s="2"/>
      <c r="B507" s="127"/>
      <c r="D507" s="3"/>
      <c r="E507" s="3"/>
      <c r="F507" s="44"/>
      <c r="G507" s="2"/>
    </row>
    <row r="508" spans="1:7" x14ac:dyDescent="0.25">
      <c r="A508" s="2"/>
      <c r="B508" s="127"/>
      <c r="D508" s="3"/>
      <c r="E508" s="3"/>
      <c r="F508" s="44"/>
      <c r="G508" s="2"/>
    </row>
    <row r="509" spans="1:7" x14ac:dyDescent="0.25">
      <c r="A509" s="2"/>
      <c r="B509" s="127"/>
      <c r="D509" s="3"/>
      <c r="E509" s="3"/>
      <c r="F509" s="44"/>
      <c r="G509" s="2"/>
    </row>
    <row r="510" spans="1:7" x14ac:dyDescent="0.25">
      <c r="A510" s="2"/>
      <c r="B510" s="127"/>
      <c r="D510" s="3"/>
      <c r="E510" s="3"/>
      <c r="F510" s="44"/>
      <c r="G510" s="2"/>
    </row>
    <row r="511" spans="1:7" x14ac:dyDescent="0.25">
      <c r="A511" s="2"/>
      <c r="B511" s="127"/>
      <c r="D511" s="3"/>
      <c r="E511" s="3"/>
      <c r="F511" s="44"/>
      <c r="G511" s="2"/>
    </row>
    <row r="512" spans="1:7" x14ac:dyDescent="0.25">
      <c r="A512" s="2"/>
      <c r="B512" s="127"/>
      <c r="D512" s="3"/>
      <c r="E512" s="3"/>
      <c r="F512" s="44"/>
      <c r="G512" s="2"/>
    </row>
    <row r="513" spans="1:7" x14ac:dyDescent="0.25">
      <c r="A513" s="2"/>
      <c r="B513" s="127"/>
      <c r="D513" s="3"/>
      <c r="E513" s="3"/>
      <c r="F513" s="44"/>
      <c r="G513" s="2"/>
    </row>
    <row r="514" spans="1:7" x14ac:dyDescent="0.25">
      <c r="A514" s="2"/>
      <c r="B514" s="127"/>
      <c r="D514" s="3"/>
      <c r="E514" s="3"/>
      <c r="F514" s="44"/>
      <c r="G514" s="2"/>
    </row>
    <row r="515" spans="1:7" x14ac:dyDescent="0.25">
      <c r="A515" s="2"/>
      <c r="B515" s="127"/>
      <c r="D515" s="3"/>
      <c r="E515" s="3"/>
      <c r="F515" s="44"/>
      <c r="G515" s="2"/>
    </row>
    <row r="516" spans="1:7" x14ac:dyDescent="0.25">
      <c r="A516" s="2"/>
      <c r="B516" s="127"/>
      <c r="D516" s="3"/>
      <c r="E516" s="3"/>
      <c r="F516" s="44"/>
      <c r="G516" s="2"/>
    </row>
    <row r="517" spans="1:7" x14ac:dyDescent="0.25">
      <c r="A517" s="2"/>
      <c r="B517" s="127"/>
      <c r="D517" s="3"/>
      <c r="E517" s="3"/>
      <c r="F517" s="44"/>
      <c r="G517" s="2"/>
    </row>
    <row r="518" spans="1:7" x14ac:dyDescent="0.25">
      <c r="A518" s="2"/>
      <c r="B518" s="127"/>
      <c r="D518" s="3"/>
      <c r="E518" s="3"/>
      <c r="F518" s="44"/>
      <c r="G518" s="2"/>
    </row>
    <row r="519" spans="1:7" x14ac:dyDescent="0.25">
      <c r="A519" s="2"/>
      <c r="B519" s="127"/>
      <c r="D519" s="3"/>
      <c r="E519" s="3"/>
      <c r="F519" s="44"/>
      <c r="G519" s="2"/>
    </row>
    <row r="520" spans="1:7" x14ac:dyDescent="0.25">
      <c r="A520" s="2"/>
      <c r="B520" s="127"/>
      <c r="D520" s="3"/>
      <c r="E520" s="3"/>
      <c r="F520" s="44"/>
      <c r="G520" s="2"/>
    </row>
    <row r="521" spans="1:7" x14ac:dyDescent="0.25">
      <c r="A521" s="2"/>
      <c r="B521" s="127"/>
      <c r="D521" s="3"/>
      <c r="E521" s="3"/>
      <c r="F521" s="44"/>
      <c r="G521" s="2"/>
    </row>
    <row r="522" spans="1:7" x14ac:dyDescent="0.25">
      <c r="A522" s="2"/>
      <c r="B522" s="127"/>
      <c r="D522" s="3"/>
      <c r="E522" s="3"/>
      <c r="F522" s="44"/>
      <c r="G522" s="2"/>
    </row>
    <row r="523" spans="1:7" x14ac:dyDescent="0.25">
      <c r="A523" s="2"/>
      <c r="B523" s="127"/>
      <c r="D523" s="3"/>
      <c r="E523" s="3"/>
      <c r="F523" s="44"/>
      <c r="G523" s="2"/>
    </row>
    <row r="524" spans="1:7" x14ac:dyDescent="0.25">
      <c r="A524" s="2"/>
      <c r="B524" s="127"/>
      <c r="D524" s="3"/>
      <c r="E524" s="3"/>
      <c r="F524" s="44"/>
      <c r="G524" s="2"/>
    </row>
    <row r="525" spans="1:7" x14ac:dyDescent="0.25">
      <c r="A525" s="2"/>
      <c r="B525" s="127"/>
      <c r="D525" s="3"/>
      <c r="E525" s="3"/>
      <c r="F525" s="44"/>
      <c r="G525" s="2"/>
    </row>
    <row r="526" spans="1:7" x14ac:dyDescent="0.25">
      <c r="A526" s="2"/>
      <c r="B526" s="127"/>
      <c r="D526" s="3"/>
      <c r="E526" s="3"/>
      <c r="F526" s="44"/>
      <c r="G526" s="2"/>
    </row>
    <row r="527" spans="1:7" x14ac:dyDescent="0.25">
      <c r="A527" s="2"/>
      <c r="B527" s="127"/>
      <c r="D527" s="3"/>
      <c r="E527" s="3"/>
      <c r="F527" s="44"/>
      <c r="G527" s="2"/>
    </row>
    <row r="528" spans="1:7" x14ac:dyDescent="0.25">
      <c r="A528" s="2"/>
      <c r="B528" s="127"/>
      <c r="D528" s="3"/>
      <c r="E528" s="3"/>
      <c r="F528" s="44"/>
      <c r="G528" s="2"/>
    </row>
    <row r="529" spans="1:7" x14ac:dyDescent="0.25">
      <c r="A529" s="2"/>
      <c r="B529" s="127"/>
      <c r="D529" s="3"/>
      <c r="E529" s="3"/>
      <c r="F529" s="44"/>
      <c r="G529" s="2"/>
    </row>
    <row r="530" spans="1:7" x14ac:dyDescent="0.25">
      <c r="A530" s="2"/>
      <c r="B530" s="127"/>
      <c r="D530" s="3"/>
      <c r="E530" s="3"/>
      <c r="F530" s="44"/>
      <c r="G530" s="2"/>
    </row>
    <row r="531" spans="1:7" x14ac:dyDescent="0.25">
      <c r="A531" s="2"/>
      <c r="B531" s="127"/>
      <c r="D531" s="3"/>
      <c r="E531" s="3"/>
      <c r="F531" s="44"/>
      <c r="G531" s="2"/>
    </row>
    <row r="532" spans="1:7" x14ac:dyDescent="0.25">
      <c r="A532" s="2"/>
      <c r="B532" s="127"/>
      <c r="D532" s="3"/>
      <c r="E532" s="3"/>
      <c r="F532" s="44"/>
      <c r="G532" s="2"/>
    </row>
    <row r="533" spans="1:7" x14ac:dyDescent="0.25">
      <c r="A533" s="2"/>
      <c r="B533" s="127"/>
      <c r="D533" s="3"/>
      <c r="E533" s="3"/>
      <c r="F533" s="44"/>
      <c r="G533" s="2"/>
    </row>
    <row r="534" spans="1:7" x14ac:dyDescent="0.25">
      <c r="A534" s="2"/>
      <c r="B534" s="127"/>
      <c r="D534" s="3"/>
      <c r="E534" s="3"/>
      <c r="F534" s="44"/>
      <c r="G534" s="2"/>
    </row>
    <row r="535" spans="1:7" x14ac:dyDescent="0.25">
      <c r="A535" s="2"/>
      <c r="B535" s="127"/>
      <c r="D535" s="3"/>
      <c r="E535" s="3"/>
      <c r="F535" s="44"/>
      <c r="G535" s="2"/>
    </row>
    <row r="536" spans="1:7" x14ac:dyDescent="0.25">
      <c r="A536" s="2"/>
      <c r="B536" s="127"/>
      <c r="D536" s="3"/>
      <c r="E536" s="3"/>
      <c r="F536" s="44"/>
      <c r="G536" s="2"/>
    </row>
    <row r="537" spans="1:7" x14ac:dyDescent="0.25">
      <c r="A537" s="2"/>
      <c r="B537" s="127"/>
      <c r="D537" s="3"/>
      <c r="E537" s="3"/>
      <c r="F537" s="44"/>
      <c r="G537" s="2"/>
    </row>
    <row r="538" spans="1:7" x14ac:dyDescent="0.25">
      <c r="A538" s="2"/>
      <c r="B538" s="127"/>
      <c r="D538" s="3"/>
      <c r="E538" s="3"/>
      <c r="F538" s="44"/>
      <c r="G538" s="2"/>
    </row>
    <row r="539" spans="1:7" x14ac:dyDescent="0.25">
      <c r="A539" s="2"/>
      <c r="B539" s="127"/>
      <c r="D539" s="3"/>
      <c r="E539" s="3"/>
      <c r="F539" s="44"/>
      <c r="G539" s="2"/>
    </row>
    <row r="540" spans="1:7" x14ac:dyDescent="0.25">
      <c r="A540" s="2"/>
      <c r="B540" s="127"/>
      <c r="D540" s="3"/>
      <c r="E540" s="3"/>
      <c r="F540" s="44"/>
      <c r="G540" s="2"/>
    </row>
    <row r="541" spans="1:7" x14ac:dyDescent="0.25">
      <c r="A541" s="2"/>
      <c r="B541" s="127"/>
      <c r="D541" s="3"/>
      <c r="E541" s="3"/>
      <c r="F541" s="44"/>
      <c r="G541" s="2"/>
    </row>
    <row r="542" spans="1:7" x14ac:dyDescent="0.25">
      <c r="A542" s="2"/>
      <c r="B542" s="127"/>
      <c r="D542" s="3"/>
      <c r="E542" s="3"/>
      <c r="F542" s="44"/>
      <c r="G542" s="2"/>
    </row>
    <row r="543" spans="1:7" x14ac:dyDescent="0.25">
      <c r="A543" s="2"/>
      <c r="B543" s="127"/>
      <c r="D543" s="3"/>
      <c r="E543" s="3"/>
      <c r="F543" s="44"/>
      <c r="G543" s="2"/>
    </row>
    <row r="544" spans="1:7" x14ac:dyDescent="0.25">
      <c r="A544" s="2"/>
      <c r="B544" s="127"/>
      <c r="D544" s="3"/>
      <c r="E544" s="3"/>
      <c r="F544" s="44"/>
      <c r="G544" s="2"/>
    </row>
    <row r="545" spans="1:7" x14ac:dyDescent="0.25">
      <c r="A545" s="2"/>
      <c r="B545" s="127"/>
      <c r="D545" s="3"/>
      <c r="E545" s="3"/>
      <c r="F545" s="44"/>
      <c r="G545" s="2"/>
    </row>
    <row r="546" spans="1:7" x14ac:dyDescent="0.25">
      <c r="A546" s="2"/>
      <c r="B546" s="127"/>
      <c r="D546" s="3"/>
      <c r="E546" s="3"/>
      <c r="F546" s="44"/>
      <c r="G546" s="2"/>
    </row>
    <row r="547" spans="1:7" x14ac:dyDescent="0.25">
      <c r="A547" s="2"/>
      <c r="B547" s="127"/>
      <c r="D547" s="3"/>
      <c r="E547" s="3"/>
      <c r="F547" s="44"/>
      <c r="G547" s="2"/>
    </row>
    <row r="548" spans="1:7" x14ac:dyDescent="0.25">
      <c r="A548" s="2"/>
      <c r="B548" s="127"/>
      <c r="D548" s="3"/>
      <c r="E548" s="3"/>
      <c r="F548" s="44"/>
      <c r="G548" s="2"/>
    </row>
    <row r="549" spans="1:7" x14ac:dyDescent="0.25">
      <c r="A549" s="2"/>
      <c r="B549" s="127"/>
      <c r="D549" s="3"/>
      <c r="E549" s="3"/>
      <c r="F549" s="44"/>
      <c r="G549" s="2"/>
    </row>
    <row r="550" spans="1:7" x14ac:dyDescent="0.25">
      <c r="A550" s="2"/>
      <c r="B550" s="127"/>
      <c r="D550" s="3"/>
      <c r="E550" s="3"/>
      <c r="F550" s="44"/>
      <c r="G550" s="2"/>
    </row>
    <row r="551" spans="1:7" x14ac:dyDescent="0.25">
      <c r="A551" s="2"/>
      <c r="B551" s="127"/>
      <c r="D551" s="3"/>
      <c r="E551" s="3"/>
      <c r="F551" s="44"/>
      <c r="G551" s="2"/>
    </row>
    <row r="552" spans="1:7" x14ac:dyDescent="0.25">
      <c r="A552" s="2"/>
      <c r="B552" s="127"/>
      <c r="D552" s="3"/>
      <c r="E552" s="3"/>
      <c r="F552" s="44"/>
      <c r="G552" s="2"/>
    </row>
    <row r="553" spans="1:7" x14ac:dyDescent="0.25">
      <c r="A553" s="2"/>
      <c r="B553" s="127"/>
      <c r="D553" s="3"/>
      <c r="E553" s="3"/>
      <c r="F553" s="44"/>
      <c r="G553" s="2"/>
    </row>
    <row r="554" spans="1:7" x14ac:dyDescent="0.25">
      <c r="A554" s="2"/>
      <c r="B554" s="127"/>
      <c r="D554" s="3"/>
      <c r="E554" s="3"/>
      <c r="F554" s="44"/>
      <c r="G554" s="2"/>
    </row>
    <row r="555" spans="1:7" x14ac:dyDescent="0.25">
      <c r="A555" s="2"/>
      <c r="B555" s="127"/>
      <c r="D555" s="3"/>
      <c r="E555" s="3"/>
      <c r="F555" s="44"/>
      <c r="G555" s="2"/>
    </row>
    <row r="556" spans="1:7" x14ac:dyDescent="0.25">
      <c r="A556" s="2"/>
      <c r="B556" s="127"/>
      <c r="D556" s="3"/>
      <c r="E556" s="3"/>
      <c r="F556" s="44"/>
      <c r="G556" s="2"/>
    </row>
    <row r="557" spans="1:7" x14ac:dyDescent="0.25">
      <c r="A557" s="2"/>
      <c r="B557" s="127"/>
      <c r="D557" s="3"/>
      <c r="E557" s="3"/>
      <c r="F557" s="44"/>
      <c r="G557" s="2"/>
    </row>
    <row r="558" spans="1:7" x14ac:dyDescent="0.25">
      <c r="A558" s="2"/>
      <c r="B558" s="127"/>
      <c r="D558" s="3"/>
      <c r="E558" s="3"/>
      <c r="F558" s="44"/>
      <c r="G558" s="2"/>
    </row>
    <row r="559" spans="1:7" x14ac:dyDescent="0.25">
      <c r="A559" s="2"/>
      <c r="B559" s="127"/>
      <c r="D559" s="3"/>
      <c r="E559" s="3"/>
      <c r="F559" s="44"/>
      <c r="G559" s="2"/>
    </row>
    <row r="560" spans="1:7" x14ac:dyDescent="0.25">
      <c r="A560" s="2"/>
      <c r="B560" s="127"/>
      <c r="D560" s="3"/>
      <c r="E560" s="3"/>
      <c r="F560" s="44"/>
      <c r="G560" s="2"/>
    </row>
    <row r="561" spans="1:7" x14ac:dyDescent="0.25">
      <c r="A561" s="2"/>
      <c r="B561" s="127"/>
      <c r="D561" s="3"/>
      <c r="E561" s="3"/>
      <c r="F561" s="44"/>
      <c r="G561" s="2"/>
    </row>
    <row r="562" spans="1:7" x14ac:dyDescent="0.25">
      <c r="A562" s="2"/>
      <c r="B562" s="127"/>
      <c r="D562" s="3"/>
      <c r="E562" s="3"/>
      <c r="F562" s="44"/>
      <c r="G562" s="2"/>
    </row>
    <row r="563" spans="1:7" x14ac:dyDescent="0.25">
      <c r="A563" s="2"/>
      <c r="B563" s="127"/>
      <c r="D563" s="3"/>
      <c r="E563" s="3"/>
      <c r="F563" s="44"/>
      <c r="G563" s="2"/>
    </row>
    <row r="564" spans="1:7" x14ac:dyDescent="0.25">
      <c r="A564" s="2"/>
      <c r="B564" s="127"/>
      <c r="D564" s="3"/>
      <c r="E564" s="3"/>
      <c r="F564" s="44"/>
      <c r="G564" s="2"/>
    </row>
    <row r="565" spans="1:7" x14ac:dyDescent="0.25">
      <c r="A565" s="2"/>
      <c r="B565" s="127"/>
      <c r="D565" s="3"/>
      <c r="E565" s="3"/>
      <c r="F565" s="44"/>
      <c r="G565" s="2"/>
    </row>
    <row r="566" spans="1:7" x14ac:dyDescent="0.25">
      <c r="A566" s="2"/>
      <c r="B566" s="127"/>
      <c r="D566" s="3"/>
      <c r="E566" s="3"/>
      <c r="F566" s="44"/>
      <c r="G566" s="2"/>
    </row>
    <row r="567" spans="1:7" x14ac:dyDescent="0.25">
      <c r="A567" s="2"/>
      <c r="B567" s="127"/>
      <c r="D567" s="3"/>
      <c r="E567" s="3"/>
      <c r="F567" s="44"/>
      <c r="G567" s="2"/>
    </row>
    <row r="568" spans="1:7" x14ac:dyDescent="0.25">
      <c r="A568" s="2"/>
      <c r="B568" s="127"/>
      <c r="D568" s="3"/>
      <c r="E568" s="3"/>
      <c r="F568" s="44"/>
      <c r="G568" s="2"/>
    </row>
    <row r="569" spans="1:7" x14ac:dyDescent="0.25">
      <c r="A569" s="2"/>
      <c r="B569" s="127"/>
      <c r="D569" s="3"/>
      <c r="E569" s="3"/>
      <c r="F569" s="44"/>
      <c r="G569" s="2"/>
    </row>
    <row r="570" spans="1:7" x14ac:dyDescent="0.25">
      <c r="A570" s="2"/>
      <c r="B570" s="127"/>
      <c r="D570" s="3"/>
      <c r="E570" s="3"/>
      <c r="F570" s="44"/>
      <c r="G570" s="2"/>
    </row>
    <row r="571" spans="1:7" x14ac:dyDescent="0.25">
      <c r="A571" s="2"/>
      <c r="B571" s="127"/>
      <c r="D571" s="3"/>
      <c r="E571" s="3"/>
      <c r="F571" s="44"/>
      <c r="G571" s="2"/>
    </row>
    <row r="572" spans="1:7" x14ac:dyDescent="0.25">
      <c r="A572" s="2"/>
      <c r="B572" s="127"/>
      <c r="D572" s="3"/>
      <c r="E572" s="3"/>
      <c r="F572" s="44"/>
      <c r="G572" s="2"/>
    </row>
    <row r="573" spans="1:7" x14ac:dyDescent="0.25">
      <c r="A573" s="2"/>
      <c r="B573" s="127"/>
      <c r="D573" s="3"/>
      <c r="E573" s="3"/>
      <c r="F573" s="44"/>
      <c r="G573" s="2"/>
    </row>
    <row r="574" spans="1:7" x14ac:dyDescent="0.25">
      <c r="A574" s="2"/>
      <c r="B574" s="127"/>
      <c r="D574" s="3"/>
      <c r="E574" s="3"/>
      <c r="F574" s="44"/>
      <c r="G574" s="2"/>
    </row>
    <row r="575" spans="1:7" x14ac:dyDescent="0.25">
      <c r="A575" s="2"/>
      <c r="B575" s="127"/>
      <c r="D575" s="3"/>
      <c r="E575" s="3"/>
      <c r="F575" s="44"/>
      <c r="G575" s="2"/>
    </row>
    <row r="576" spans="1:7" x14ac:dyDescent="0.25">
      <c r="A576" s="2"/>
      <c r="B576" s="127"/>
      <c r="D576" s="3"/>
      <c r="E576" s="3"/>
      <c r="F576" s="44"/>
      <c r="G576" s="2"/>
    </row>
    <row r="577" spans="1:7" x14ac:dyDescent="0.25">
      <c r="A577" s="2"/>
      <c r="B577" s="127"/>
      <c r="D577" s="3"/>
      <c r="E577" s="3"/>
      <c r="F577" s="44"/>
      <c r="G577" s="2"/>
    </row>
    <row r="578" spans="1:7" x14ac:dyDescent="0.25">
      <c r="A578" s="2"/>
      <c r="B578" s="127"/>
      <c r="D578" s="3"/>
      <c r="E578" s="3"/>
      <c r="F578" s="44"/>
      <c r="G578" s="2"/>
    </row>
    <row r="579" spans="1:7" x14ac:dyDescent="0.25">
      <c r="A579" s="2"/>
      <c r="B579" s="127"/>
      <c r="D579" s="3"/>
      <c r="E579" s="3"/>
      <c r="F579" s="44"/>
      <c r="G579" s="2"/>
    </row>
    <row r="580" spans="1:7" x14ac:dyDescent="0.25">
      <c r="A580" s="2"/>
      <c r="B580" s="127"/>
      <c r="D580" s="3"/>
      <c r="E580" s="3"/>
      <c r="F580" s="44"/>
      <c r="G580" s="2"/>
    </row>
    <row r="581" spans="1:7" x14ac:dyDescent="0.25">
      <c r="A581" s="2"/>
      <c r="B581" s="127"/>
      <c r="D581" s="3"/>
      <c r="E581" s="3"/>
      <c r="F581" s="44"/>
      <c r="G581" s="2"/>
    </row>
    <row r="582" spans="1:7" x14ac:dyDescent="0.25">
      <c r="A582" s="2"/>
      <c r="B582" s="127"/>
      <c r="D582" s="3"/>
      <c r="E582" s="3"/>
      <c r="F582" s="44"/>
      <c r="G582" s="2"/>
    </row>
    <row r="583" spans="1:7" x14ac:dyDescent="0.25">
      <c r="A583" s="2"/>
      <c r="B583" s="127"/>
      <c r="D583" s="3"/>
      <c r="E583" s="3"/>
      <c r="F583" s="44"/>
      <c r="G583" s="2"/>
    </row>
    <row r="584" spans="1:7" x14ac:dyDescent="0.25">
      <c r="A584" s="2"/>
      <c r="B584" s="127"/>
      <c r="D584" s="3"/>
      <c r="E584" s="3"/>
      <c r="F584" s="44"/>
      <c r="G584" s="2"/>
    </row>
    <row r="585" spans="1:7" x14ac:dyDescent="0.25">
      <c r="A585" s="2"/>
      <c r="B585" s="127"/>
      <c r="D585" s="3"/>
      <c r="E585" s="3"/>
      <c r="F585" s="44"/>
      <c r="G585" s="2"/>
    </row>
    <row r="586" spans="1:7" x14ac:dyDescent="0.25">
      <c r="A586" s="2"/>
      <c r="B586" s="127"/>
      <c r="D586" s="3"/>
      <c r="E586" s="3"/>
      <c r="F586" s="44"/>
      <c r="G586" s="2"/>
    </row>
    <row r="587" spans="1:7" x14ac:dyDescent="0.25">
      <c r="A587" s="2"/>
      <c r="B587" s="127"/>
      <c r="D587" s="3"/>
      <c r="E587" s="3"/>
      <c r="F587" s="44"/>
      <c r="G587" s="2"/>
    </row>
    <row r="588" spans="1:7" x14ac:dyDescent="0.25">
      <c r="A588" s="2"/>
      <c r="B588" s="127"/>
      <c r="D588" s="3"/>
      <c r="E588" s="3"/>
      <c r="F588" s="44"/>
      <c r="G588" s="2"/>
    </row>
    <row r="589" spans="1:7" x14ac:dyDescent="0.25">
      <c r="A589" s="2"/>
      <c r="B589" s="127"/>
      <c r="D589" s="3"/>
      <c r="E589" s="3"/>
      <c r="F589" s="44"/>
      <c r="G589" s="2"/>
    </row>
    <row r="590" spans="1:7" x14ac:dyDescent="0.25">
      <c r="A590" s="2"/>
      <c r="B590" s="127"/>
      <c r="D590" s="3"/>
      <c r="E590" s="3"/>
      <c r="F590" s="44"/>
      <c r="G590" s="2"/>
    </row>
    <row r="591" spans="1:7" x14ac:dyDescent="0.25">
      <c r="A591" s="2"/>
      <c r="B591" s="127"/>
      <c r="D591" s="3"/>
      <c r="E591" s="3"/>
      <c r="F591" s="44"/>
      <c r="G591" s="2"/>
    </row>
    <row r="592" spans="1:7" x14ac:dyDescent="0.25">
      <c r="A592" s="2"/>
      <c r="B592" s="127"/>
      <c r="D592" s="3"/>
      <c r="E592" s="3"/>
      <c r="F592" s="44"/>
      <c r="G592" s="2"/>
    </row>
    <row r="593" spans="1:7" x14ac:dyDescent="0.25">
      <c r="A593" s="2"/>
      <c r="B593" s="127"/>
      <c r="D593" s="3"/>
      <c r="E593" s="3"/>
      <c r="F593" s="44"/>
      <c r="G593" s="2"/>
    </row>
    <row r="594" spans="1:7" x14ac:dyDescent="0.25">
      <c r="A594" s="2"/>
      <c r="B594" s="127"/>
      <c r="D594" s="3"/>
      <c r="E594" s="3"/>
      <c r="F594" s="44"/>
      <c r="G594" s="2"/>
    </row>
    <row r="595" spans="1:7" x14ac:dyDescent="0.25">
      <c r="A595" s="2"/>
      <c r="B595" s="127"/>
      <c r="D595" s="3"/>
      <c r="E595" s="3"/>
      <c r="F595" s="44"/>
      <c r="G595" s="2"/>
    </row>
    <row r="596" spans="1:7" x14ac:dyDescent="0.25">
      <c r="A596" s="2"/>
      <c r="B596" s="127"/>
      <c r="D596" s="3"/>
      <c r="E596" s="3"/>
      <c r="F596" s="44"/>
      <c r="G596" s="2"/>
    </row>
    <row r="597" spans="1:7" x14ac:dyDescent="0.25">
      <c r="A597" s="2"/>
      <c r="B597" s="127"/>
      <c r="D597" s="3"/>
      <c r="E597" s="3"/>
      <c r="F597" s="44"/>
      <c r="G597" s="2"/>
    </row>
    <row r="598" spans="1:7" x14ac:dyDescent="0.25">
      <c r="A598" s="2"/>
      <c r="B598" s="127"/>
      <c r="D598" s="3"/>
      <c r="E598" s="3"/>
      <c r="F598" s="44"/>
      <c r="G598" s="2"/>
    </row>
    <row r="599" spans="1:7" x14ac:dyDescent="0.25">
      <c r="A599" s="2"/>
      <c r="B599" s="127"/>
      <c r="D599" s="3"/>
      <c r="E599" s="3"/>
      <c r="F599" s="44"/>
      <c r="G599" s="2"/>
    </row>
    <row r="600" spans="1:7" x14ac:dyDescent="0.25">
      <c r="A600" s="2"/>
      <c r="B600" s="127"/>
      <c r="D600" s="3"/>
      <c r="E600" s="3"/>
      <c r="F600" s="44"/>
      <c r="G600" s="2"/>
    </row>
    <row r="601" spans="1:7" x14ac:dyDescent="0.25">
      <c r="A601" s="2"/>
      <c r="B601" s="127"/>
      <c r="D601" s="3"/>
      <c r="E601" s="3"/>
      <c r="F601" s="44"/>
      <c r="G601" s="2"/>
    </row>
    <row r="602" spans="1:7" x14ac:dyDescent="0.25">
      <c r="A602" s="2"/>
      <c r="B602" s="127"/>
      <c r="D602" s="3"/>
      <c r="E602" s="3"/>
      <c r="F602" s="44"/>
      <c r="G602" s="2"/>
    </row>
    <row r="603" spans="1:7" x14ac:dyDescent="0.25">
      <c r="A603" s="2"/>
      <c r="B603" s="127"/>
      <c r="D603" s="3"/>
      <c r="E603" s="3"/>
      <c r="F603" s="44"/>
      <c r="G603" s="2"/>
    </row>
    <row r="604" spans="1:7" x14ac:dyDescent="0.25">
      <c r="A604" s="1"/>
      <c r="B604" s="127"/>
      <c r="D604" s="3"/>
      <c r="E604" s="3"/>
      <c r="F604" s="44"/>
      <c r="G604" s="2"/>
    </row>
    <row r="605" spans="1:7" x14ac:dyDescent="0.25">
      <c r="A605" s="1"/>
      <c r="B605" s="127"/>
      <c r="D605" s="3"/>
      <c r="E605" s="3"/>
      <c r="F605" s="44"/>
      <c r="G605" s="2"/>
    </row>
    <row r="606" spans="1:7" x14ac:dyDescent="0.25">
      <c r="A606" s="1"/>
      <c r="B606" s="127"/>
      <c r="D606" s="3"/>
      <c r="E606" s="3"/>
      <c r="F606" s="44"/>
      <c r="G606" s="2"/>
    </row>
    <row r="607" spans="1:7" x14ac:dyDescent="0.25">
      <c r="A607" s="1"/>
      <c r="B607" s="127"/>
      <c r="D607" s="3"/>
      <c r="E607" s="3"/>
      <c r="F607" s="44"/>
      <c r="G607" s="2"/>
    </row>
    <row r="608" spans="1:7" x14ac:dyDescent="0.25">
      <c r="A608" s="1"/>
      <c r="B608" s="127"/>
      <c r="D608" s="3"/>
      <c r="E608" s="3"/>
      <c r="F608" s="44"/>
      <c r="G608" s="2"/>
    </row>
    <row r="609" spans="1:7" x14ac:dyDescent="0.25">
      <c r="A609" s="1"/>
      <c r="B609" s="127"/>
      <c r="D609" s="3"/>
      <c r="E609" s="3"/>
      <c r="F609" s="44"/>
      <c r="G609" s="2"/>
    </row>
    <row r="610" spans="1:7" x14ac:dyDescent="0.25">
      <c r="A610" s="1"/>
      <c r="B610" s="127"/>
      <c r="D610" s="3"/>
      <c r="E610" s="3"/>
      <c r="F610" s="44"/>
      <c r="G610" s="2"/>
    </row>
    <row r="611" spans="1:7" x14ac:dyDescent="0.25">
      <c r="A611" s="1"/>
      <c r="B611" s="127"/>
      <c r="D611" s="3"/>
      <c r="E611" s="3"/>
      <c r="F611" s="44"/>
      <c r="G611" s="2"/>
    </row>
    <row r="612" spans="1:7" x14ac:dyDescent="0.25">
      <c r="A612" s="1"/>
      <c r="B612" s="127"/>
      <c r="D612" s="3"/>
      <c r="E612" s="3"/>
      <c r="F612" s="44"/>
      <c r="G612" s="2"/>
    </row>
    <row r="613" spans="1:7" x14ac:dyDescent="0.25">
      <c r="A613" s="1"/>
      <c r="B613" s="127"/>
      <c r="D613" s="3"/>
      <c r="E613" s="3"/>
      <c r="F613" s="44"/>
      <c r="G613" s="2"/>
    </row>
    <row r="614" spans="1:7" x14ac:dyDescent="0.25">
      <c r="A614" s="1"/>
      <c r="B614" s="127"/>
      <c r="D614" s="3"/>
      <c r="E614" s="3"/>
      <c r="F614" s="44"/>
      <c r="G614" s="2"/>
    </row>
    <row r="615" spans="1:7" x14ac:dyDescent="0.25">
      <c r="A615" s="1"/>
      <c r="B615" s="127"/>
      <c r="D615" s="3"/>
      <c r="E615" s="3"/>
      <c r="F615" s="44"/>
      <c r="G615" s="2"/>
    </row>
    <row r="616" spans="1:7" x14ac:dyDescent="0.25">
      <c r="A616" s="1"/>
      <c r="B616" s="127"/>
      <c r="D616" s="3"/>
      <c r="E616" s="3"/>
      <c r="F616" s="44"/>
      <c r="G616" s="2"/>
    </row>
    <row r="617" spans="1:7" x14ac:dyDescent="0.25">
      <c r="A617" s="1"/>
      <c r="B617" s="127"/>
      <c r="D617" s="3"/>
      <c r="E617" s="3"/>
      <c r="F617" s="44"/>
      <c r="G617" s="2"/>
    </row>
    <row r="618" spans="1:7" x14ac:dyDescent="0.25">
      <c r="A618" s="1"/>
      <c r="B618" s="127"/>
      <c r="D618" s="3"/>
      <c r="E618" s="3"/>
      <c r="F618" s="44"/>
      <c r="G618" s="2"/>
    </row>
    <row r="619" spans="1:7" x14ac:dyDescent="0.25">
      <c r="A619" s="1"/>
      <c r="B619" s="127"/>
      <c r="D619" s="3"/>
      <c r="E619" s="3"/>
      <c r="F619" s="44"/>
      <c r="G619" s="2"/>
    </row>
    <row r="620" spans="1:7" x14ac:dyDescent="0.25">
      <c r="A620" s="1"/>
      <c r="B620" s="127"/>
      <c r="D620" s="3"/>
      <c r="E620" s="3"/>
      <c r="F620" s="44"/>
      <c r="G620" s="2"/>
    </row>
    <row r="621" spans="1:7" x14ac:dyDescent="0.25">
      <c r="A621" s="1"/>
      <c r="B621" s="127"/>
      <c r="D621" s="3"/>
      <c r="E621" s="3"/>
      <c r="F621" s="44"/>
      <c r="G621" s="2"/>
    </row>
    <row r="622" spans="1:7" x14ac:dyDescent="0.25">
      <c r="A622" s="1"/>
      <c r="B622" s="127"/>
      <c r="D622" s="3"/>
      <c r="E622" s="3"/>
      <c r="F622" s="44"/>
      <c r="G622" s="2"/>
    </row>
    <row r="623" spans="1:7" x14ac:dyDescent="0.25">
      <c r="A623" s="1"/>
      <c r="B623" s="127"/>
      <c r="D623" s="3"/>
      <c r="E623" s="3"/>
      <c r="F623" s="44"/>
      <c r="G623" s="2"/>
    </row>
    <row r="624" spans="1:7" x14ac:dyDescent="0.25">
      <c r="A624" s="1"/>
      <c r="B624" s="127"/>
      <c r="D624" s="3"/>
      <c r="E624" s="3"/>
      <c r="F624" s="44"/>
      <c r="G624" s="2"/>
    </row>
    <row r="625" spans="1:7" x14ac:dyDescent="0.25">
      <c r="A625" s="1"/>
      <c r="B625" s="127"/>
      <c r="D625" s="3"/>
      <c r="E625" s="3"/>
      <c r="F625" s="44"/>
      <c r="G625" s="2"/>
    </row>
    <row r="626" spans="1:7" x14ac:dyDescent="0.25">
      <c r="A626" s="1"/>
      <c r="B626" s="127"/>
      <c r="D626" s="3"/>
      <c r="E626" s="3"/>
      <c r="F626" s="44"/>
      <c r="G626" s="2"/>
    </row>
    <row r="627" spans="1:7" x14ac:dyDescent="0.25">
      <c r="A627" s="1"/>
      <c r="B627" s="127"/>
      <c r="D627" s="3"/>
      <c r="E627" s="3"/>
      <c r="F627" s="44"/>
      <c r="G627" s="2"/>
    </row>
    <row r="628" spans="1:7" x14ac:dyDescent="0.25">
      <c r="A628" s="1"/>
      <c r="B628" s="127"/>
      <c r="D628" s="3"/>
      <c r="E628" s="3"/>
      <c r="F628" s="44"/>
      <c r="G628" s="2"/>
    </row>
    <row r="629" spans="1:7" x14ac:dyDescent="0.25">
      <c r="A629" s="1"/>
      <c r="B629" s="127"/>
      <c r="D629" s="3"/>
      <c r="E629" s="3"/>
    </row>
    <row r="630" spans="1:7" x14ac:dyDescent="0.25">
      <c r="A630" s="1"/>
      <c r="B630" s="127"/>
      <c r="D630" s="3"/>
      <c r="E630" s="3"/>
    </row>
    <row r="631" spans="1:7" x14ac:dyDescent="0.25">
      <c r="A631" s="1"/>
      <c r="B631" s="127"/>
      <c r="D631" s="3"/>
      <c r="E631" s="3"/>
    </row>
    <row r="632" spans="1:7" x14ac:dyDescent="0.25">
      <c r="A632" s="1"/>
      <c r="B632" s="127"/>
      <c r="D632" s="3"/>
      <c r="E632" s="3"/>
    </row>
    <row r="633" spans="1:7" x14ac:dyDescent="0.25">
      <c r="A633" s="1"/>
      <c r="B633" s="127"/>
      <c r="D633" s="3"/>
      <c r="E633" s="3"/>
    </row>
    <row r="634" spans="1:7" x14ac:dyDescent="0.25">
      <c r="A634" s="1"/>
      <c r="B634" s="127"/>
      <c r="D634" s="3"/>
      <c r="E634" s="3"/>
    </row>
    <row r="635" spans="1:7" x14ac:dyDescent="0.25">
      <c r="A635" s="1"/>
      <c r="B635" s="127"/>
      <c r="D635" s="3"/>
      <c r="E635" s="3"/>
    </row>
    <row r="636" spans="1:7" x14ac:dyDescent="0.25">
      <c r="A636" s="1"/>
      <c r="B636" s="127"/>
      <c r="D636" s="3"/>
      <c r="E636" s="3"/>
    </row>
    <row r="637" spans="1:7" x14ac:dyDescent="0.25">
      <c r="A637" s="1"/>
      <c r="B637" s="127"/>
      <c r="D637" s="3"/>
      <c r="E637" s="3"/>
    </row>
    <row r="638" spans="1:7" x14ac:dyDescent="0.25">
      <c r="A638" s="1"/>
      <c r="B638" s="127"/>
      <c r="D638" s="3"/>
      <c r="E638" s="3"/>
    </row>
    <row r="639" spans="1:7" x14ac:dyDescent="0.25">
      <c r="A639" s="1"/>
      <c r="B639" s="127"/>
      <c r="D639" s="3"/>
      <c r="E639" s="3"/>
    </row>
    <row r="640" spans="1:7" x14ac:dyDescent="0.25">
      <c r="A640" s="1"/>
      <c r="B640" s="127"/>
      <c r="D640" s="3"/>
      <c r="E640" s="3"/>
    </row>
    <row r="641" spans="1:5" x14ac:dyDescent="0.25">
      <c r="A641" s="1"/>
      <c r="B641" s="127"/>
      <c r="D641" s="3"/>
      <c r="E641" s="3"/>
    </row>
    <row r="642" spans="1:5" x14ac:dyDescent="0.25">
      <c r="A642" s="1"/>
      <c r="B642" s="127"/>
      <c r="D642" s="3"/>
      <c r="E642" s="3"/>
    </row>
    <row r="643" spans="1:5" x14ac:dyDescent="0.25">
      <c r="A643" s="1"/>
      <c r="B643" s="127"/>
      <c r="D643" s="3"/>
      <c r="E643" s="3"/>
    </row>
    <row r="644" spans="1:5" x14ac:dyDescent="0.25">
      <c r="A644" s="1"/>
      <c r="B644" s="127"/>
      <c r="D644" s="3"/>
      <c r="E644" s="3"/>
    </row>
    <row r="645" spans="1:5" x14ac:dyDescent="0.25">
      <c r="A645" s="1"/>
      <c r="B645" s="127"/>
      <c r="D645" s="3"/>
      <c r="E645" s="3"/>
    </row>
    <row r="646" spans="1:5" x14ac:dyDescent="0.25">
      <c r="A646" s="1"/>
      <c r="B646" s="127"/>
      <c r="D646" s="3"/>
      <c r="E646" s="3"/>
    </row>
    <row r="647" spans="1:5" x14ac:dyDescent="0.25">
      <c r="A647" s="1"/>
      <c r="B647" s="127"/>
      <c r="D647" s="3"/>
      <c r="E647" s="3"/>
    </row>
    <row r="648" spans="1:5" x14ac:dyDescent="0.25">
      <c r="A648" s="1"/>
      <c r="B648" s="127"/>
      <c r="D648" s="3"/>
      <c r="E648" s="3"/>
    </row>
    <row r="649" spans="1:5" x14ac:dyDescent="0.25">
      <c r="A649" s="1"/>
      <c r="B649" s="127"/>
      <c r="D649" s="3"/>
      <c r="E649" s="3"/>
    </row>
    <row r="650" spans="1:5" x14ac:dyDescent="0.25">
      <c r="A650" s="1"/>
      <c r="B650" s="127"/>
      <c r="D650" s="3"/>
      <c r="E650" s="3"/>
    </row>
    <row r="651" spans="1:5" x14ac:dyDescent="0.25">
      <c r="A651" s="1"/>
      <c r="B651" s="127"/>
      <c r="D651" s="3"/>
      <c r="E651" s="3"/>
    </row>
    <row r="652" spans="1:5" x14ac:dyDescent="0.25">
      <c r="A652" s="1"/>
      <c r="B652" s="127"/>
      <c r="D652" s="3"/>
      <c r="E652" s="3"/>
    </row>
    <row r="653" spans="1:5" x14ac:dyDescent="0.25">
      <c r="A653" s="1"/>
      <c r="B653" s="127"/>
      <c r="D653" s="3"/>
      <c r="E653" s="3"/>
    </row>
    <row r="654" spans="1:5" x14ac:dyDescent="0.25">
      <c r="A654" s="1"/>
      <c r="B654" s="127"/>
      <c r="D654" s="3"/>
      <c r="E654" s="3"/>
    </row>
    <row r="655" spans="1:5" x14ac:dyDescent="0.25">
      <c r="A655" s="1"/>
      <c r="B655" s="127"/>
      <c r="D655" s="3"/>
      <c r="E655" s="3"/>
    </row>
    <row r="656" spans="1:5" x14ac:dyDescent="0.25">
      <c r="A656" s="1"/>
      <c r="B656" s="127"/>
      <c r="D656" s="3"/>
      <c r="E656" s="3"/>
    </row>
    <row r="657" spans="1:5" x14ac:dyDescent="0.25">
      <c r="A657" s="1"/>
      <c r="B657" s="127"/>
      <c r="D657" s="3"/>
      <c r="E657" s="3"/>
    </row>
    <row r="658" spans="1:5" x14ac:dyDescent="0.25">
      <c r="A658" s="1"/>
      <c r="B658" s="127"/>
      <c r="D658" s="3"/>
      <c r="E658" s="3"/>
    </row>
    <row r="659" spans="1:5" x14ac:dyDescent="0.25">
      <c r="A659" s="1"/>
      <c r="B659" s="127"/>
      <c r="D659" s="3"/>
      <c r="E659" s="3"/>
    </row>
    <row r="660" spans="1:5" x14ac:dyDescent="0.25">
      <c r="A660" s="1"/>
      <c r="B660" s="127"/>
      <c r="D660" s="3"/>
      <c r="E660" s="3"/>
    </row>
    <row r="661" spans="1:5" x14ac:dyDescent="0.25">
      <c r="A661" s="1"/>
      <c r="B661" s="127"/>
      <c r="D661" s="3"/>
      <c r="E661" s="3"/>
    </row>
    <row r="662" spans="1:5" x14ac:dyDescent="0.25">
      <c r="A662" s="1"/>
      <c r="B662" s="127"/>
      <c r="D662" s="3"/>
      <c r="E662" s="3"/>
    </row>
    <row r="663" spans="1:5" x14ac:dyDescent="0.25">
      <c r="A663" s="1"/>
      <c r="B663" s="127"/>
      <c r="D663" s="3"/>
      <c r="E663" s="3"/>
    </row>
    <row r="664" spans="1:5" x14ac:dyDescent="0.25">
      <c r="A664" s="1"/>
      <c r="B664" s="127"/>
      <c r="D664" s="3"/>
      <c r="E664" s="3"/>
    </row>
    <row r="665" spans="1:5" x14ac:dyDescent="0.25">
      <c r="A665" s="1"/>
      <c r="B665" s="127"/>
      <c r="D665" s="3"/>
      <c r="E665" s="3"/>
    </row>
    <row r="666" spans="1:5" x14ac:dyDescent="0.25">
      <c r="A666" s="1"/>
      <c r="B666" s="127"/>
      <c r="D666" s="3"/>
      <c r="E666" s="3"/>
    </row>
    <row r="667" spans="1:5" x14ac:dyDescent="0.25">
      <c r="A667" s="1"/>
      <c r="B667" s="127"/>
      <c r="D667" s="3"/>
      <c r="E667" s="3"/>
    </row>
    <row r="668" spans="1:5" x14ac:dyDescent="0.25">
      <c r="A668" s="1"/>
      <c r="B668" s="127"/>
      <c r="D668" s="3"/>
      <c r="E668" s="3"/>
    </row>
    <row r="669" spans="1:5" x14ac:dyDescent="0.25">
      <c r="A669" s="1"/>
      <c r="B669" s="127"/>
      <c r="D669" s="3"/>
      <c r="E669" s="3"/>
    </row>
    <row r="670" spans="1:5" x14ac:dyDescent="0.25">
      <c r="A670" s="1"/>
      <c r="B670" s="127"/>
      <c r="D670" s="3"/>
      <c r="E670" s="3"/>
    </row>
    <row r="671" spans="1:5" x14ac:dyDescent="0.25">
      <c r="A671" s="1"/>
      <c r="B671" s="127"/>
      <c r="D671" s="3"/>
      <c r="E671" s="3"/>
    </row>
    <row r="672" spans="1:5" x14ac:dyDescent="0.25">
      <c r="A672" s="1"/>
      <c r="B672" s="127"/>
      <c r="D672" s="3"/>
      <c r="E672" s="3"/>
    </row>
    <row r="673" spans="1:5" x14ac:dyDescent="0.25">
      <c r="A673" s="1"/>
      <c r="B673" s="127"/>
      <c r="D673" s="3"/>
      <c r="E673" s="3"/>
    </row>
    <row r="674" spans="1:5" x14ac:dyDescent="0.25">
      <c r="A674" s="1"/>
      <c r="B674" s="127"/>
      <c r="D674" s="3"/>
      <c r="E674" s="3"/>
    </row>
    <row r="675" spans="1:5" x14ac:dyDescent="0.25">
      <c r="A675" s="1"/>
      <c r="B675" s="127"/>
      <c r="D675" s="3"/>
      <c r="E675" s="3"/>
    </row>
    <row r="676" spans="1:5" x14ac:dyDescent="0.25">
      <c r="A676" s="1"/>
      <c r="B676" s="127"/>
      <c r="D676" s="3"/>
      <c r="E676" s="3"/>
    </row>
    <row r="677" spans="1:5" x14ac:dyDescent="0.25">
      <c r="A677" s="1"/>
      <c r="B677" s="127"/>
      <c r="D677" s="3"/>
      <c r="E677" s="3"/>
    </row>
    <row r="678" spans="1:5" x14ac:dyDescent="0.25">
      <c r="A678" s="1"/>
      <c r="B678" s="127"/>
      <c r="D678" s="3"/>
      <c r="E678" s="3"/>
    </row>
    <row r="679" spans="1:5" x14ac:dyDescent="0.25">
      <c r="A679" s="1"/>
      <c r="B679" s="127"/>
      <c r="D679" s="3"/>
      <c r="E679" s="3"/>
    </row>
    <row r="680" spans="1:5" x14ac:dyDescent="0.25">
      <c r="A680" s="1"/>
      <c r="B680" s="127"/>
      <c r="D680" s="3"/>
      <c r="E680" s="3"/>
    </row>
    <row r="681" spans="1:5" x14ac:dyDescent="0.25">
      <c r="A681" s="1"/>
      <c r="B681" s="127"/>
      <c r="D681" s="3"/>
      <c r="E681" s="3"/>
    </row>
    <row r="682" spans="1:5" x14ac:dyDescent="0.25">
      <c r="A682" s="1"/>
      <c r="B682" s="127"/>
      <c r="D682" s="3"/>
      <c r="E682" s="3"/>
    </row>
    <row r="683" spans="1:5" x14ac:dyDescent="0.25">
      <c r="A683" s="1"/>
      <c r="B683" s="127"/>
      <c r="D683" s="3"/>
      <c r="E683" s="3"/>
    </row>
    <row r="684" spans="1:5" x14ac:dyDescent="0.25">
      <c r="A684" s="1"/>
      <c r="B684" s="127"/>
      <c r="D684" s="3"/>
      <c r="E684" s="3"/>
    </row>
    <row r="685" spans="1:5" x14ac:dyDescent="0.25">
      <c r="A685" s="1"/>
      <c r="B685" s="127"/>
      <c r="D685" s="3"/>
      <c r="E685" s="3"/>
    </row>
    <row r="686" spans="1:5" x14ac:dyDescent="0.25">
      <c r="A686" s="1"/>
      <c r="B686" s="127"/>
      <c r="D686" s="3"/>
      <c r="E686" s="3"/>
    </row>
    <row r="687" spans="1:5" x14ac:dyDescent="0.25">
      <c r="A687" s="1"/>
      <c r="B687" s="127"/>
      <c r="D687" s="3"/>
      <c r="E687" s="3"/>
    </row>
    <row r="688" spans="1:5" x14ac:dyDescent="0.25">
      <c r="A688" s="1"/>
      <c r="B688" s="127"/>
      <c r="D688" s="3"/>
      <c r="E688" s="3"/>
    </row>
    <row r="689" spans="1:5" x14ac:dyDescent="0.25">
      <c r="A689" s="1"/>
      <c r="B689" s="127"/>
      <c r="D689" s="3"/>
      <c r="E689" s="3"/>
    </row>
    <row r="690" spans="1:5" x14ac:dyDescent="0.25">
      <c r="A690" s="1"/>
      <c r="B690" s="127"/>
      <c r="D690" s="3"/>
      <c r="E690" s="3"/>
    </row>
    <row r="691" spans="1:5" x14ac:dyDescent="0.25">
      <c r="A691" s="1"/>
      <c r="B691" s="127"/>
      <c r="D691" s="3"/>
      <c r="E691" s="3"/>
    </row>
    <row r="692" spans="1:5" x14ac:dyDescent="0.25">
      <c r="A692" s="1"/>
      <c r="B692" s="127"/>
      <c r="D692" s="3"/>
      <c r="E692" s="3"/>
    </row>
    <row r="693" spans="1:5" x14ac:dyDescent="0.25">
      <c r="A693" s="1"/>
      <c r="B693" s="127"/>
      <c r="D693" s="3"/>
      <c r="E693" s="3"/>
    </row>
    <row r="694" spans="1:5" x14ac:dyDescent="0.25">
      <c r="A694" s="1"/>
      <c r="B694" s="127"/>
      <c r="D694" s="3"/>
      <c r="E694" s="3"/>
    </row>
    <row r="695" spans="1:5" x14ac:dyDescent="0.25">
      <c r="A695" s="1"/>
      <c r="B695" s="127"/>
      <c r="D695" s="3"/>
      <c r="E695" s="3"/>
    </row>
    <row r="696" spans="1:5" x14ac:dyDescent="0.25">
      <c r="A696" s="1"/>
      <c r="B696" s="127"/>
      <c r="D696" s="3"/>
      <c r="E696" s="3"/>
    </row>
    <row r="697" spans="1:5" x14ac:dyDescent="0.25">
      <c r="A697" s="1"/>
      <c r="B697" s="127"/>
      <c r="D697" s="3"/>
      <c r="E697" s="3"/>
    </row>
    <row r="698" spans="1:5" x14ac:dyDescent="0.25">
      <c r="A698" s="1"/>
      <c r="B698" s="127"/>
      <c r="D698" s="3"/>
      <c r="E698" s="3"/>
    </row>
    <row r="699" spans="1:5" x14ac:dyDescent="0.25">
      <c r="A699" s="1"/>
      <c r="B699" s="127"/>
      <c r="D699" s="3"/>
      <c r="E699" s="3"/>
    </row>
    <row r="700" spans="1:5" x14ac:dyDescent="0.25">
      <c r="A700" s="1"/>
      <c r="B700" s="127"/>
      <c r="D700" s="3"/>
      <c r="E700" s="3"/>
    </row>
    <row r="701" spans="1:5" x14ac:dyDescent="0.25">
      <c r="A701" s="1"/>
      <c r="B701" s="127"/>
      <c r="D701" s="3"/>
      <c r="E701" s="3"/>
    </row>
    <row r="702" spans="1:5" x14ac:dyDescent="0.25">
      <c r="A702" s="1"/>
      <c r="B702" s="127"/>
      <c r="D702" s="3"/>
      <c r="E702" s="3"/>
    </row>
    <row r="703" spans="1:5" x14ac:dyDescent="0.25">
      <c r="A703" s="1"/>
      <c r="B703" s="127"/>
      <c r="D703" s="3"/>
      <c r="E703" s="3"/>
    </row>
    <row r="704" spans="1:5" x14ac:dyDescent="0.25">
      <c r="A704" s="1"/>
      <c r="B704" s="127"/>
      <c r="D704" s="3"/>
      <c r="E704" s="3"/>
    </row>
    <row r="705" spans="1:5" x14ac:dyDescent="0.25">
      <c r="A705" s="1"/>
      <c r="B705" s="127"/>
      <c r="D705" s="3"/>
      <c r="E705" s="3"/>
    </row>
    <row r="706" spans="1:5" x14ac:dyDescent="0.25">
      <c r="A706" s="1"/>
      <c r="B706" s="127"/>
      <c r="D706" s="3"/>
      <c r="E706" s="3"/>
    </row>
    <row r="707" spans="1:5" x14ac:dyDescent="0.25">
      <c r="A707" s="1"/>
      <c r="B707" s="127"/>
      <c r="D707" s="3"/>
      <c r="E707" s="3"/>
    </row>
    <row r="708" spans="1:5" x14ac:dyDescent="0.25">
      <c r="A708" s="1"/>
      <c r="B708" s="127"/>
      <c r="D708" s="3"/>
      <c r="E708" s="3"/>
    </row>
    <row r="709" spans="1:5" x14ac:dyDescent="0.25">
      <c r="A709" s="1"/>
      <c r="B709" s="127"/>
      <c r="D709" s="3"/>
      <c r="E709" s="3"/>
    </row>
    <row r="710" spans="1:5" x14ac:dyDescent="0.25">
      <c r="A710" s="1"/>
      <c r="B710" s="127"/>
      <c r="D710" s="3"/>
      <c r="E710" s="3"/>
    </row>
    <row r="711" spans="1:5" x14ac:dyDescent="0.25">
      <c r="A711" s="1"/>
      <c r="B711" s="127"/>
      <c r="D711" s="3"/>
      <c r="E711" s="3"/>
    </row>
    <row r="712" spans="1:5" x14ac:dyDescent="0.25">
      <c r="A712" s="1"/>
      <c r="B712" s="127"/>
      <c r="D712" s="3"/>
      <c r="E712" s="2"/>
    </row>
    <row r="713" spans="1:5" x14ac:dyDescent="0.25">
      <c r="A713" s="1"/>
      <c r="B713" s="127"/>
      <c r="D713" s="3"/>
      <c r="E713" s="2"/>
    </row>
    <row r="714" spans="1:5" x14ac:dyDescent="0.25">
      <c r="A714" s="1"/>
      <c r="B714" s="127"/>
      <c r="D714" s="3"/>
      <c r="E714" s="2"/>
    </row>
    <row r="715" spans="1:5" x14ac:dyDescent="0.25">
      <c r="A715" s="1"/>
      <c r="B715" s="127"/>
      <c r="D715" s="3"/>
      <c r="E715" s="2"/>
    </row>
    <row r="716" spans="1:5" x14ac:dyDescent="0.25">
      <c r="A716" s="1"/>
      <c r="B716" s="127"/>
      <c r="D716" s="3"/>
      <c r="E716" s="2"/>
    </row>
    <row r="717" spans="1:5" x14ac:dyDescent="0.25">
      <c r="A717" s="1"/>
      <c r="B717" s="127"/>
      <c r="D717" s="3"/>
      <c r="E717" s="2"/>
    </row>
    <row r="718" spans="1:5" x14ac:dyDescent="0.25">
      <c r="A718" s="1"/>
      <c r="B718" s="127"/>
      <c r="D718" s="3"/>
      <c r="E718" s="2"/>
    </row>
    <row r="719" spans="1:5" x14ac:dyDescent="0.25">
      <c r="A719" s="1"/>
      <c r="B719" s="127"/>
      <c r="D719" s="3"/>
      <c r="E719" s="2"/>
    </row>
    <row r="720" spans="1:5" x14ac:dyDescent="0.25">
      <c r="A720" s="1"/>
      <c r="B720" s="127"/>
      <c r="D720" s="3"/>
      <c r="E720" s="2"/>
    </row>
    <row r="721" spans="1:5" x14ac:dyDescent="0.25">
      <c r="A721" s="1"/>
      <c r="B721" s="127"/>
      <c r="D721" s="3"/>
      <c r="E721" s="2"/>
    </row>
    <row r="722" spans="1:5" x14ac:dyDescent="0.25">
      <c r="A722" s="1"/>
      <c r="B722" s="127"/>
      <c r="D722" s="3"/>
      <c r="E722" s="2"/>
    </row>
    <row r="723" spans="1:5" x14ac:dyDescent="0.25">
      <c r="A723" s="1"/>
      <c r="B723" s="127"/>
      <c r="D723" s="3"/>
      <c r="E723" s="2"/>
    </row>
  </sheetData>
  <autoFilter ref="A25:IV73"/>
  <mergeCells count="31">
    <mergeCell ref="J1:L1"/>
    <mergeCell ref="J2:L2"/>
    <mergeCell ref="J3:L3"/>
    <mergeCell ref="J4:L4"/>
    <mergeCell ref="A6:D6"/>
    <mergeCell ref="A7:D7"/>
    <mergeCell ref="S103:S104"/>
    <mergeCell ref="C19:C21"/>
    <mergeCell ref="D23:D24"/>
    <mergeCell ref="O19:O20"/>
    <mergeCell ref="D20:D21"/>
    <mergeCell ref="E20:E21"/>
    <mergeCell ref="I20:J20"/>
    <mergeCell ref="A23:A24"/>
    <mergeCell ref="A19:A21"/>
    <mergeCell ref="X116:X121"/>
    <mergeCell ref="R23:S23"/>
    <mergeCell ref="T23:U23"/>
    <mergeCell ref="V23:W23"/>
    <mergeCell ref="X23:X24"/>
    <mergeCell ref="W103:W104"/>
    <mergeCell ref="K116:K121"/>
    <mergeCell ref="W116:W121"/>
    <mergeCell ref="K103:K104"/>
    <mergeCell ref="B19:B21"/>
    <mergeCell ref="L20:M20"/>
    <mergeCell ref="D19:M19"/>
    <mergeCell ref="N19:N21"/>
    <mergeCell ref="K20:K21"/>
    <mergeCell ref="F20:G20"/>
    <mergeCell ref="H20:H21"/>
  </mergeCells>
  <phoneticPr fontId="17" type="noConversion"/>
  <pageMargins left="0.39370078740157483" right="0.19685039370078741" top="0.39370078740157483" bottom="0.39370078740157483" header="0.51181102362204722" footer="0.51181102362204722"/>
  <pageSetup paperSize="9" scale="65" orientation="landscape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23"/>
  <sheetViews>
    <sheetView zoomScale="85" zoomScaleNormal="85" workbookViewId="0">
      <pane xSplit="5" ySplit="8" topLeftCell="F252" activePane="bottomRight" state="frozen"/>
      <selection activeCell="K147" sqref="K147"/>
      <selection pane="topRight" activeCell="K147" sqref="K147"/>
      <selection pane="bottomLeft" activeCell="K147" sqref="K147"/>
      <selection pane="bottomRight" activeCell="K147" sqref="K147"/>
    </sheetView>
  </sheetViews>
  <sheetFormatPr defaultRowHeight="15" x14ac:dyDescent="0.25"/>
  <cols>
    <col min="1" max="1" width="10.85546875" style="1" customWidth="1"/>
    <col min="2" max="2" width="10.5703125" style="1" customWidth="1"/>
    <col min="3" max="3" width="12" style="1" customWidth="1"/>
    <col min="4" max="4" width="8.28515625" style="2" customWidth="1"/>
    <col min="5" max="5" width="73.5703125" style="3" customWidth="1"/>
    <col min="6" max="6" width="12.140625" style="2" customWidth="1"/>
    <col min="7" max="7" width="12.28515625" style="1" customWidth="1"/>
    <col min="8" max="8" width="12.85546875" style="1" customWidth="1"/>
    <col min="9" max="9" width="14.5703125" style="1" customWidth="1"/>
    <col min="10" max="10" width="11.42578125" style="1" customWidth="1"/>
    <col min="11" max="11" width="13.5703125" style="1" customWidth="1"/>
    <col min="12" max="12" width="9.5703125" style="1" customWidth="1"/>
    <col min="13" max="13" width="14" style="1" customWidth="1"/>
    <col min="14" max="14" width="9" style="1" customWidth="1"/>
    <col min="15" max="15" width="13.85546875" style="1" customWidth="1"/>
    <col min="16" max="16" width="9.28515625" style="1" customWidth="1"/>
    <col min="17" max="17" width="13.5703125" style="1" customWidth="1"/>
    <col min="18" max="18" width="13.85546875" style="1" customWidth="1"/>
    <col min="19" max="19" width="11.5703125" style="1" bestFit="1" customWidth="1"/>
    <col min="20" max="16384" width="9.140625" style="1"/>
  </cols>
  <sheetData>
    <row r="1" spans="1:25" x14ac:dyDescent="0.25">
      <c r="O1" s="375" t="s">
        <v>367</v>
      </c>
      <c r="P1" s="375"/>
      <c r="Q1" s="375"/>
    </row>
    <row r="2" spans="1:25" x14ac:dyDescent="0.25">
      <c r="O2" s="375" t="s">
        <v>364</v>
      </c>
      <c r="P2" s="375"/>
      <c r="Q2" s="375"/>
    </row>
    <row r="3" spans="1:25" ht="16.5" customHeight="1" x14ac:dyDescent="0.25">
      <c r="O3" s="375" t="s">
        <v>365</v>
      </c>
      <c r="P3" s="375"/>
      <c r="Q3" s="375"/>
    </row>
    <row r="4" spans="1:25" ht="18.75" customHeight="1" x14ac:dyDescent="0.25">
      <c r="O4" s="375" t="s">
        <v>366</v>
      </c>
      <c r="P4" s="375"/>
      <c r="Q4" s="375"/>
    </row>
    <row r="5" spans="1:25" ht="18.75" x14ac:dyDescent="0.3">
      <c r="F5" s="5" t="s">
        <v>0</v>
      </c>
      <c r="H5" s="5"/>
      <c r="R5" s="4"/>
    </row>
    <row r="6" spans="1:25" ht="15.75" thickBot="1" x14ac:dyDescent="0.3"/>
    <row r="7" spans="1:25" s="7" customFormat="1" ht="20.25" customHeight="1" x14ac:dyDescent="0.2">
      <c r="A7" s="403" t="s">
        <v>1</v>
      </c>
      <c r="B7" s="405" t="s">
        <v>2</v>
      </c>
      <c r="C7" s="405" t="s">
        <v>3</v>
      </c>
      <c r="D7" s="399" t="s">
        <v>4</v>
      </c>
      <c r="E7" s="397" t="s">
        <v>5</v>
      </c>
      <c r="F7" s="412" t="s">
        <v>6</v>
      </c>
      <c r="G7" s="413"/>
      <c r="H7" s="413"/>
      <c r="I7" s="414"/>
      <c r="J7" s="391" t="s">
        <v>7</v>
      </c>
      <c r="K7" s="392"/>
      <c r="L7" s="391" t="s">
        <v>8</v>
      </c>
      <c r="M7" s="392"/>
      <c r="N7" s="391" t="s">
        <v>9</v>
      </c>
      <c r="O7" s="392"/>
      <c r="P7" s="391" t="s">
        <v>10</v>
      </c>
      <c r="Q7" s="392"/>
      <c r="R7" s="395" t="s">
        <v>11</v>
      </c>
      <c r="S7" s="6"/>
      <c r="T7" s="6"/>
      <c r="U7" s="6"/>
      <c r="V7" s="6"/>
      <c r="W7" s="6"/>
      <c r="X7" s="6"/>
      <c r="Y7" s="6"/>
    </row>
    <row r="8" spans="1:25" s="7" customFormat="1" ht="91.5" customHeight="1" x14ac:dyDescent="0.2">
      <c r="A8" s="404"/>
      <c r="B8" s="406"/>
      <c r="C8" s="406"/>
      <c r="D8" s="400"/>
      <c r="E8" s="398"/>
      <c r="F8" s="8" t="s">
        <v>12</v>
      </c>
      <c r="G8" s="8" t="s">
        <v>13</v>
      </c>
      <c r="H8" s="8"/>
      <c r="I8" s="8" t="s">
        <v>14</v>
      </c>
      <c r="J8" s="8" t="s">
        <v>13</v>
      </c>
      <c r="K8" s="8" t="s">
        <v>14</v>
      </c>
      <c r="L8" s="8" t="s">
        <v>13</v>
      </c>
      <c r="M8" s="8" t="s">
        <v>15</v>
      </c>
      <c r="N8" s="8" t="s">
        <v>13</v>
      </c>
      <c r="O8" s="8" t="s">
        <v>15</v>
      </c>
      <c r="P8" s="8" t="s">
        <v>13</v>
      </c>
      <c r="Q8" s="8" t="s">
        <v>15</v>
      </c>
      <c r="R8" s="396"/>
      <c r="S8" s="6"/>
      <c r="T8" s="6"/>
      <c r="U8" s="6"/>
      <c r="V8" s="6"/>
      <c r="W8" s="6"/>
      <c r="X8" s="6"/>
      <c r="Y8" s="6"/>
    </row>
    <row r="9" spans="1:25" ht="33" customHeight="1" x14ac:dyDescent="0.25">
      <c r="A9" s="9"/>
      <c r="B9" s="10"/>
      <c r="C9" s="10"/>
      <c r="D9" s="11">
        <v>1</v>
      </c>
      <c r="E9" s="29" t="s">
        <v>16</v>
      </c>
      <c r="F9" s="13"/>
      <c r="G9" s="32">
        <v>94</v>
      </c>
      <c r="H9" s="14"/>
      <c r="I9" s="23">
        <v>1206590</v>
      </c>
      <c r="J9" s="15">
        <v>94</v>
      </c>
      <c r="K9" s="15">
        <v>1206590</v>
      </c>
      <c r="L9" s="15"/>
      <c r="M9" s="15"/>
      <c r="N9" s="15"/>
      <c r="O9" s="15"/>
      <c r="P9" s="15"/>
      <c r="Q9" s="15"/>
      <c r="R9" s="16"/>
      <c r="S9" s="3"/>
      <c r="T9" s="3"/>
      <c r="U9" s="3"/>
      <c r="V9" s="3"/>
      <c r="W9" s="3"/>
      <c r="X9" s="3"/>
      <c r="Y9" s="3"/>
    </row>
    <row r="10" spans="1:25" ht="30" customHeight="1" x14ac:dyDescent="0.25">
      <c r="A10" s="9"/>
      <c r="B10" s="10"/>
      <c r="C10" s="10"/>
      <c r="D10" s="11">
        <v>2</v>
      </c>
      <c r="E10" s="29" t="s">
        <v>19</v>
      </c>
      <c r="F10" s="13"/>
      <c r="G10" s="32">
        <v>145</v>
      </c>
      <c r="H10" s="14"/>
      <c r="I10" s="23">
        <v>2360180</v>
      </c>
      <c r="J10" s="15">
        <v>145</v>
      </c>
      <c r="K10" s="15">
        <v>2360180</v>
      </c>
      <c r="L10" s="15"/>
      <c r="M10" s="15"/>
      <c r="N10" s="15"/>
      <c r="O10" s="15"/>
      <c r="P10" s="15"/>
      <c r="Q10" s="15"/>
      <c r="R10" s="16"/>
      <c r="S10" s="3"/>
      <c r="T10" s="3"/>
      <c r="U10" s="3"/>
      <c r="V10" s="3"/>
      <c r="W10" s="3"/>
      <c r="X10" s="3"/>
      <c r="Y10" s="3"/>
    </row>
    <row r="11" spans="1:25" ht="17.25" customHeight="1" x14ac:dyDescent="0.25">
      <c r="A11" s="9"/>
      <c r="B11" s="10"/>
      <c r="C11" s="10"/>
      <c r="D11" s="11">
        <v>3</v>
      </c>
      <c r="E11" s="12" t="s">
        <v>20</v>
      </c>
      <c r="F11" s="22"/>
      <c r="G11" s="23"/>
      <c r="H11" s="23"/>
      <c r="I11" s="23"/>
      <c r="J11" s="15"/>
      <c r="K11" s="15"/>
      <c r="L11" s="15"/>
      <c r="M11" s="15"/>
      <c r="N11" s="15"/>
      <c r="O11" s="15"/>
      <c r="P11" s="15"/>
      <c r="Q11" s="15"/>
      <c r="R11" s="16"/>
      <c r="S11" s="3"/>
      <c r="T11" s="3"/>
      <c r="U11" s="3"/>
      <c r="V11" s="3"/>
      <c r="W11" s="3"/>
      <c r="X11" s="3"/>
      <c r="Y11" s="3"/>
    </row>
    <row r="12" spans="1:25" ht="30.75" customHeight="1" x14ac:dyDescent="0.25">
      <c r="A12" s="9"/>
      <c r="B12" s="10"/>
      <c r="C12" s="10"/>
      <c r="D12" s="11">
        <v>3.1</v>
      </c>
      <c r="E12" s="17" t="s">
        <v>21</v>
      </c>
      <c r="F12" s="18" t="s">
        <v>22</v>
      </c>
      <c r="G12" s="15">
        <v>12</v>
      </c>
      <c r="H12" s="15"/>
      <c r="I12" s="15">
        <f>K12+M12</f>
        <v>770616</v>
      </c>
      <c r="J12" s="15">
        <v>12</v>
      </c>
      <c r="K12" s="15">
        <v>753947</v>
      </c>
      <c r="L12" s="15">
        <v>9</v>
      </c>
      <c r="M12" s="15">
        <v>16669</v>
      </c>
      <c r="N12" s="15"/>
      <c r="O12" s="15"/>
      <c r="P12" s="15"/>
      <c r="Q12" s="15"/>
      <c r="R12" s="16"/>
      <c r="S12" s="3"/>
      <c r="T12" s="3"/>
      <c r="U12" s="3"/>
      <c r="V12" s="3"/>
      <c r="W12" s="3"/>
      <c r="X12" s="3"/>
      <c r="Y12" s="3"/>
    </row>
    <row r="13" spans="1:25" ht="15.75" customHeight="1" x14ac:dyDescent="0.25">
      <c r="A13" s="9"/>
      <c r="B13" s="10"/>
      <c r="C13" s="10"/>
      <c r="D13" s="11">
        <v>3.2</v>
      </c>
      <c r="E13" s="17" t="s">
        <v>23</v>
      </c>
      <c r="F13" s="18" t="s">
        <v>24</v>
      </c>
      <c r="G13" s="24">
        <v>1</v>
      </c>
      <c r="H13" s="25"/>
      <c r="I13" s="26">
        <v>550000</v>
      </c>
      <c r="J13" s="24"/>
      <c r="K13" s="24"/>
      <c r="L13" s="15"/>
      <c r="M13" s="27"/>
      <c r="N13" s="15"/>
      <c r="O13" s="15"/>
      <c r="P13" s="24">
        <v>1</v>
      </c>
      <c r="Q13" s="27">
        <v>550000</v>
      </c>
      <c r="R13" s="26">
        <v>320000</v>
      </c>
      <c r="S13" s="3"/>
      <c r="T13" s="3"/>
      <c r="U13" s="3"/>
      <c r="V13" s="3"/>
      <c r="W13" s="3"/>
      <c r="X13" s="3"/>
      <c r="Y13" s="3"/>
    </row>
    <row r="14" spans="1:25" ht="15.75" customHeight="1" x14ac:dyDescent="0.25">
      <c r="A14" s="9"/>
      <c r="B14" s="10"/>
      <c r="C14" s="10"/>
      <c r="D14" s="11">
        <v>3.3</v>
      </c>
      <c r="E14" s="17" t="s">
        <v>25</v>
      </c>
      <c r="F14" s="18" t="s">
        <v>24</v>
      </c>
      <c r="G14" s="24">
        <v>1</v>
      </c>
      <c r="H14" s="25"/>
      <c r="I14" s="26">
        <v>300000</v>
      </c>
      <c r="J14" s="28"/>
      <c r="K14" s="27"/>
      <c r="L14" s="15"/>
      <c r="M14" s="27"/>
      <c r="N14" s="15"/>
      <c r="O14" s="15"/>
      <c r="P14" s="24">
        <v>1</v>
      </c>
      <c r="Q14" s="24">
        <v>300000</v>
      </c>
      <c r="R14" s="26"/>
      <c r="S14" s="3"/>
      <c r="T14" s="3"/>
      <c r="U14" s="3"/>
      <c r="V14" s="3"/>
      <c r="W14" s="3"/>
      <c r="X14" s="3"/>
      <c r="Y14" s="3"/>
    </row>
    <row r="15" spans="1:25" ht="28.5" customHeight="1" x14ac:dyDescent="0.25">
      <c r="A15" s="9"/>
      <c r="B15" s="10"/>
      <c r="C15" s="10"/>
      <c r="D15" s="11">
        <v>3.4</v>
      </c>
      <c r="E15" s="80" t="s">
        <v>336</v>
      </c>
      <c r="F15" s="81" t="s">
        <v>24</v>
      </c>
      <c r="G15" s="24">
        <v>3</v>
      </c>
      <c r="H15" s="25"/>
      <c r="I15" s="26">
        <v>54000</v>
      </c>
      <c r="J15" s="82"/>
      <c r="K15" s="27"/>
      <c r="L15" s="83"/>
      <c r="M15" s="27"/>
      <c r="N15" s="83">
        <v>3</v>
      </c>
      <c r="O15" s="83">
        <v>54000</v>
      </c>
      <c r="P15" s="24"/>
      <c r="Q15" s="24"/>
      <c r="R15" s="26"/>
      <c r="S15" s="3"/>
      <c r="T15" s="3"/>
      <c r="U15" s="3"/>
      <c r="V15" s="3"/>
      <c r="W15" s="3"/>
      <c r="X15" s="3"/>
      <c r="Y15" s="3"/>
    </row>
    <row r="16" spans="1:25" ht="18" customHeight="1" x14ac:dyDescent="0.25">
      <c r="A16" s="9"/>
      <c r="B16" s="10"/>
      <c r="C16" s="10"/>
      <c r="D16" s="11">
        <v>3.5</v>
      </c>
      <c r="E16" s="80" t="s">
        <v>358</v>
      </c>
      <c r="F16" s="81"/>
      <c r="G16" s="24">
        <v>2</v>
      </c>
      <c r="H16" s="25"/>
      <c r="I16" s="26">
        <v>58711</v>
      </c>
      <c r="J16" s="82"/>
      <c r="K16" s="27"/>
      <c r="L16" s="83"/>
      <c r="M16" s="27"/>
      <c r="N16" s="83">
        <v>2</v>
      </c>
      <c r="O16" s="83">
        <v>58711</v>
      </c>
      <c r="P16" s="24"/>
      <c r="Q16" s="24"/>
      <c r="R16" s="26"/>
      <c r="S16" s="3"/>
      <c r="T16" s="3"/>
      <c r="U16" s="3"/>
      <c r="V16" s="3"/>
      <c r="W16" s="3"/>
      <c r="X16" s="3"/>
      <c r="Y16" s="3"/>
    </row>
    <row r="17" spans="1:25" ht="17.25" customHeight="1" x14ac:dyDescent="0.25">
      <c r="A17" s="9"/>
      <c r="B17" s="10"/>
      <c r="C17" s="10"/>
      <c r="D17" s="11">
        <v>3.6</v>
      </c>
      <c r="E17" s="80" t="s">
        <v>359</v>
      </c>
      <c r="F17" s="81"/>
      <c r="G17" s="24"/>
      <c r="H17" s="25"/>
      <c r="I17" s="26"/>
      <c r="J17" s="82"/>
      <c r="K17" s="27"/>
      <c r="L17" s="83">
        <v>1</v>
      </c>
      <c r="M17" s="27">
        <v>94800</v>
      </c>
      <c r="N17" s="83"/>
      <c r="O17" s="83"/>
      <c r="P17" s="24"/>
      <c r="Q17" s="24"/>
      <c r="R17" s="26"/>
      <c r="S17" s="3"/>
      <c r="T17" s="3"/>
      <c r="U17" s="3"/>
      <c r="V17" s="3"/>
      <c r="W17" s="3"/>
      <c r="X17" s="3"/>
      <c r="Y17" s="3"/>
    </row>
    <row r="18" spans="1:25" ht="15.75" customHeight="1" x14ac:dyDescent="0.25">
      <c r="A18" s="9"/>
      <c r="B18" s="10"/>
      <c r="C18" s="10"/>
      <c r="D18" s="11">
        <v>3.7</v>
      </c>
      <c r="E18" s="80" t="s">
        <v>357</v>
      </c>
      <c r="F18" s="81"/>
      <c r="G18" s="24">
        <v>4</v>
      </c>
      <c r="H18" s="25"/>
      <c r="I18" s="26">
        <v>27730</v>
      </c>
      <c r="J18" s="82"/>
      <c r="K18" s="27"/>
      <c r="L18" s="83"/>
      <c r="M18" s="27"/>
      <c r="N18" s="83">
        <v>4</v>
      </c>
      <c r="O18" s="83">
        <v>27730</v>
      </c>
      <c r="P18" s="24"/>
      <c r="Q18" s="24"/>
      <c r="R18" s="26"/>
      <c r="S18" s="3"/>
      <c r="T18" s="3"/>
      <c r="U18" s="3"/>
      <c r="V18" s="3"/>
      <c r="W18" s="3"/>
      <c r="X18" s="3"/>
      <c r="Y18" s="3"/>
    </row>
    <row r="19" spans="1:25" ht="13.5" customHeight="1" x14ac:dyDescent="0.25">
      <c r="A19" s="9"/>
      <c r="B19" s="10"/>
      <c r="C19" s="10"/>
      <c r="D19" s="11"/>
      <c r="E19" s="17"/>
      <c r="F19" s="18"/>
      <c r="G19" s="15"/>
      <c r="H19" s="15"/>
      <c r="I19" s="21">
        <f>SUM(I12:I18)</f>
        <v>1761057</v>
      </c>
      <c r="J19" s="15"/>
      <c r="K19" s="21">
        <f>SUM(K12:K14)</f>
        <v>753947</v>
      </c>
      <c r="L19" s="15"/>
      <c r="M19" s="21">
        <f>SUM(M12:M14)</f>
        <v>16669</v>
      </c>
      <c r="N19" s="15"/>
      <c r="O19" s="21">
        <f>SUM(O12:O18)</f>
        <v>140441</v>
      </c>
      <c r="P19" s="15"/>
      <c r="Q19" s="21">
        <f>SUM(Q12:Q14)</f>
        <v>850000</v>
      </c>
      <c r="R19" s="16"/>
      <c r="S19" s="84"/>
      <c r="T19" s="3"/>
      <c r="U19" s="3"/>
      <c r="V19" s="3"/>
      <c r="W19" s="3"/>
      <c r="X19" s="3"/>
      <c r="Y19" s="3"/>
    </row>
    <row r="20" spans="1:25" ht="16.5" customHeight="1" x14ac:dyDescent="0.25">
      <c r="A20" s="9"/>
      <c r="B20" s="10"/>
      <c r="C20" s="10"/>
      <c r="D20" s="11">
        <v>4</v>
      </c>
      <c r="E20" s="29" t="s">
        <v>26</v>
      </c>
      <c r="F20" s="18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6"/>
      <c r="S20" s="3"/>
      <c r="T20" s="3"/>
      <c r="U20" s="3"/>
      <c r="V20" s="3"/>
      <c r="W20" s="3"/>
      <c r="X20" s="3"/>
      <c r="Y20" s="3"/>
    </row>
    <row r="21" spans="1:25" ht="16.5" customHeight="1" x14ac:dyDescent="0.25">
      <c r="A21" s="9"/>
      <c r="B21" s="10"/>
      <c r="C21" s="10"/>
      <c r="D21" s="11">
        <v>4.0999999999999996</v>
      </c>
      <c r="E21" s="30" t="s">
        <v>27</v>
      </c>
      <c r="F21" s="18" t="s">
        <v>22</v>
      </c>
      <c r="G21" s="15">
        <v>9</v>
      </c>
      <c r="H21" s="15"/>
      <c r="I21" s="15">
        <f>G21*10000</f>
        <v>90000</v>
      </c>
      <c r="J21" s="15"/>
      <c r="K21" s="15"/>
      <c r="L21" s="15">
        <v>3</v>
      </c>
      <c r="M21" s="15">
        <v>30000</v>
      </c>
      <c r="N21" s="15">
        <v>3</v>
      </c>
      <c r="O21" s="15">
        <v>30000</v>
      </c>
      <c r="P21" s="15">
        <v>3</v>
      </c>
      <c r="Q21" s="15">
        <v>30000</v>
      </c>
      <c r="R21" s="16"/>
      <c r="S21" s="3"/>
      <c r="T21" s="3"/>
      <c r="U21" s="3"/>
      <c r="V21" s="3"/>
      <c r="W21" s="3"/>
      <c r="X21" s="3"/>
      <c r="Y21" s="3"/>
    </row>
    <row r="22" spans="1:25" ht="16.5" customHeight="1" x14ac:dyDescent="0.25">
      <c r="A22" s="9"/>
      <c r="B22" s="10"/>
      <c r="C22" s="10"/>
      <c r="D22" s="11">
        <v>4.2</v>
      </c>
      <c r="E22" s="31" t="s">
        <v>28</v>
      </c>
      <c r="F22" s="18" t="s">
        <v>22</v>
      </c>
      <c r="G22" s="15">
        <v>6</v>
      </c>
      <c r="H22" s="15"/>
      <c r="I22" s="15">
        <v>60000</v>
      </c>
      <c r="J22" s="15"/>
      <c r="K22" s="15"/>
      <c r="L22" s="15"/>
      <c r="M22" s="15"/>
      <c r="N22" s="15">
        <v>3</v>
      </c>
      <c r="O22" s="15">
        <v>30000</v>
      </c>
      <c r="P22" s="15">
        <v>3</v>
      </c>
      <c r="Q22" s="15">
        <v>30000</v>
      </c>
      <c r="R22" s="16"/>
      <c r="S22" s="3"/>
      <c r="T22" s="3"/>
      <c r="U22" s="3"/>
      <c r="V22" s="3"/>
      <c r="W22" s="3"/>
      <c r="X22" s="3"/>
      <c r="Y22" s="3"/>
    </row>
    <row r="23" spans="1:25" ht="16.5" customHeight="1" x14ac:dyDescent="0.25">
      <c r="A23" s="9"/>
      <c r="B23" s="10"/>
      <c r="C23" s="10"/>
      <c r="D23" s="11">
        <v>4.3</v>
      </c>
      <c r="E23" s="31" t="s">
        <v>29</v>
      </c>
      <c r="F23" s="18" t="s">
        <v>22</v>
      </c>
      <c r="G23" s="15">
        <v>6</v>
      </c>
      <c r="H23" s="15"/>
      <c r="I23" s="15">
        <v>60000</v>
      </c>
      <c r="J23" s="15"/>
      <c r="K23" s="15"/>
      <c r="L23" s="15"/>
      <c r="M23" s="15"/>
      <c r="N23" s="15">
        <v>3</v>
      </c>
      <c r="O23" s="15">
        <v>30000</v>
      </c>
      <c r="P23" s="15">
        <v>3</v>
      </c>
      <c r="Q23" s="15">
        <v>30000</v>
      </c>
      <c r="R23" s="16"/>
      <c r="S23" s="3"/>
      <c r="T23" s="3"/>
      <c r="U23" s="3"/>
      <c r="V23" s="3"/>
      <c r="W23" s="3"/>
      <c r="X23" s="3"/>
      <c r="Y23" s="3"/>
    </row>
    <row r="24" spans="1:25" ht="16.5" customHeight="1" x14ac:dyDescent="0.25">
      <c r="A24" s="9"/>
      <c r="B24" s="10"/>
      <c r="C24" s="10"/>
      <c r="D24" s="11">
        <v>4.4000000000000004</v>
      </c>
      <c r="E24" s="31" t="s">
        <v>30</v>
      </c>
      <c r="F24" s="18" t="s">
        <v>22</v>
      </c>
      <c r="G24" s="15">
        <v>6</v>
      </c>
      <c r="H24" s="15"/>
      <c r="I24" s="15">
        <v>60000</v>
      </c>
      <c r="J24" s="15"/>
      <c r="K24" s="15"/>
      <c r="L24" s="15"/>
      <c r="M24" s="15"/>
      <c r="N24" s="15">
        <v>3</v>
      </c>
      <c r="O24" s="15">
        <v>30000</v>
      </c>
      <c r="P24" s="15">
        <v>3</v>
      </c>
      <c r="Q24" s="15">
        <v>30000</v>
      </c>
      <c r="R24" s="16"/>
      <c r="S24" s="3"/>
      <c r="T24" s="3"/>
      <c r="U24" s="3"/>
      <c r="V24" s="3"/>
      <c r="W24" s="3"/>
      <c r="X24" s="3"/>
      <c r="Y24" s="3"/>
    </row>
    <row r="25" spans="1:25" ht="16.5" customHeight="1" x14ac:dyDescent="0.25">
      <c r="A25" s="9"/>
      <c r="B25" s="10"/>
      <c r="C25" s="10"/>
      <c r="D25" s="11">
        <v>4.5</v>
      </c>
      <c r="E25" s="31" t="s">
        <v>31</v>
      </c>
      <c r="F25" s="18" t="s">
        <v>22</v>
      </c>
      <c r="G25" s="15">
        <v>12</v>
      </c>
      <c r="H25" s="15"/>
      <c r="I25" s="15">
        <f>4500*12</f>
        <v>54000</v>
      </c>
      <c r="J25" s="15">
        <v>12</v>
      </c>
      <c r="K25" s="15">
        <v>54000</v>
      </c>
      <c r="L25" s="15"/>
      <c r="M25" s="15"/>
      <c r="N25" s="15"/>
      <c r="O25" s="15"/>
      <c r="P25" s="15"/>
      <c r="Q25" s="15"/>
      <c r="R25" s="16"/>
      <c r="S25" s="3"/>
      <c r="T25" s="3"/>
      <c r="U25" s="3"/>
      <c r="V25" s="3"/>
      <c r="W25" s="3"/>
      <c r="X25" s="3"/>
      <c r="Y25" s="3"/>
    </row>
    <row r="26" spans="1:25" ht="18" customHeight="1" x14ac:dyDescent="0.25">
      <c r="A26" s="9"/>
      <c r="B26" s="10"/>
      <c r="C26" s="10"/>
      <c r="D26" s="11">
        <v>4.5999999999999996</v>
      </c>
      <c r="E26" s="17" t="s">
        <v>32</v>
      </c>
      <c r="F26" s="18" t="s">
        <v>22</v>
      </c>
      <c r="G26" s="15">
        <v>12</v>
      </c>
      <c r="H26" s="15"/>
      <c r="I26" s="15">
        <v>112230</v>
      </c>
      <c r="J26" s="15">
        <v>12</v>
      </c>
      <c r="K26" s="15">
        <v>112230</v>
      </c>
      <c r="L26" s="15"/>
      <c r="M26" s="15"/>
      <c r="N26" s="15"/>
      <c r="O26" s="15"/>
      <c r="P26" s="15"/>
      <c r="Q26" s="15"/>
      <c r="R26" s="16"/>
      <c r="S26" s="3"/>
      <c r="T26" s="3"/>
      <c r="U26" s="3"/>
      <c r="V26" s="3"/>
      <c r="W26" s="3"/>
      <c r="X26" s="3"/>
      <c r="Y26" s="3"/>
    </row>
    <row r="27" spans="1:25" ht="17.25" customHeight="1" x14ac:dyDescent="0.25">
      <c r="A27" s="9"/>
      <c r="B27" s="10"/>
      <c r="C27" s="10"/>
      <c r="D27" s="11">
        <v>4.7</v>
      </c>
      <c r="E27" s="30" t="s">
        <v>33</v>
      </c>
      <c r="F27" s="18" t="s">
        <v>22</v>
      </c>
      <c r="G27" s="32">
        <v>12</v>
      </c>
      <c r="H27" s="32"/>
      <c r="I27" s="32">
        <v>240000</v>
      </c>
      <c r="J27" s="15">
        <v>12</v>
      </c>
      <c r="K27" s="15">
        <v>240000</v>
      </c>
      <c r="L27" s="15"/>
      <c r="M27" s="15"/>
      <c r="N27" s="15"/>
      <c r="O27" s="15"/>
      <c r="P27" s="15"/>
      <c r="Q27" s="15"/>
      <c r="R27" s="16"/>
      <c r="S27" s="3"/>
      <c r="T27" s="3"/>
      <c r="U27" s="3"/>
      <c r="V27" s="3"/>
      <c r="W27" s="3"/>
      <c r="X27" s="3"/>
      <c r="Y27" s="3"/>
    </row>
    <row r="28" spans="1:25" ht="17.25" customHeight="1" x14ac:dyDescent="0.25">
      <c r="A28" s="9"/>
      <c r="B28" s="10"/>
      <c r="C28" s="10"/>
      <c r="D28" s="11">
        <v>4.8</v>
      </c>
      <c r="E28" s="30" t="s">
        <v>34</v>
      </c>
      <c r="F28" s="18" t="s">
        <v>22</v>
      </c>
      <c r="G28" s="32">
        <v>12</v>
      </c>
      <c r="H28" s="32"/>
      <c r="I28" s="32">
        <v>130516</v>
      </c>
      <c r="J28" s="15">
        <v>12</v>
      </c>
      <c r="K28" s="15">
        <v>130516</v>
      </c>
      <c r="L28" s="15"/>
      <c r="M28" s="15"/>
      <c r="N28" s="15"/>
      <c r="O28" s="15"/>
      <c r="P28" s="15"/>
      <c r="Q28" s="15"/>
      <c r="R28" s="16"/>
      <c r="S28" s="3"/>
      <c r="T28" s="3"/>
      <c r="U28" s="3"/>
      <c r="V28" s="3"/>
      <c r="W28" s="3"/>
      <c r="X28" s="3"/>
      <c r="Y28" s="3"/>
    </row>
    <row r="29" spans="1:25" ht="17.25" customHeight="1" x14ac:dyDescent="0.25">
      <c r="A29" s="9"/>
      <c r="B29" s="10"/>
      <c r="C29" s="10"/>
      <c r="D29" s="11">
        <v>4.9000000000000004</v>
      </c>
      <c r="E29" s="30" t="s">
        <v>35</v>
      </c>
      <c r="F29" s="18" t="s">
        <v>22</v>
      </c>
      <c r="G29" s="32">
        <v>12</v>
      </c>
      <c r="H29" s="32"/>
      <c r="I29" s="32">
        <v>124442</v>
      </c>
      <c r="J29" s="15">
        <v>12</v>
      </c>
      <c r="K29" s="15">
        <v>124442</v>
      </c>
      <c r="L29" s="15"/>
      <c r="M29" s="15"/>
      <c r="N29" s="15"/>
      <c r="O29" s="15"/>
      <c r="P29" s="15"/>
      <c r="Q29" s="15"/>
      <c r="R29" s="16"/>
      <c r="S29" s="3"/>
      <c r="T29" s="3"/>
      <c r="U29" s="3"/>
      <c r="V29" s="3"/>
      <c r="W29" s="3"/>
      <c r="X29" s="3"/>
      <c r="Y29" s="3"/>
    </row>
    <row r="30" spans="1:25" ht="17.25" customHeight="1" x14ac:dyDescent="0.25">
      <c r="A30" s="9"/>
      <c r="B30" s="10"/>
      <c r="C30" s="10"/>
      <c r="D30" s="33">
        <v>4.0999999999999996</v>
      </c>
      <c r="E30" s="30" t="s">
        <v>36</v>
      </c>
      <c r="F30" s="18" t="s">
        <v>22</v>
      </c>
      <c r="G30" s="32">
        <v>12</v>
      </c>
      <c r="H30" s="32"/>
      <c r="I30" s="32">
        <v>378509.04</v>
      </c>
      <c r="J30" s="15">
        <v>12</v>
      </c>
      <c r="K30" s="15">
        <v>378509</v>
      </c>
      <c r="L30" s="15"/>
      <c r="M30" s="15"/>
      <c r="N30" s="15"/>
      <c r="O30" s="15"/>
      <c r="P30" s="15"/>
      <c r="Q30" s="15"/>
      <c r="R30" s="16"/>
      <c r="S30" s="3"/>
      <c r="T30" s="3"/>
      <c r="U30" s="3"/>
      <c r="V30" s="3"/>
      <c r="W30" s="3"/>
      <c r="X30" s="3"/>
      <c r="Y30" s="3"/>
    </row>
    <row r="31" spans="1:25" ht="17.25" customHeight="1" x14ac:dyDescent="0.25">
      <c r="A31" s="9"/>
      <c r="B31" s="10"/>
      <c r="C31" s="10"/>
      <c r="D31" s="11">
        <v>4.1100000000000003</v>
      </c>
      <c r="E31" s="30" t="s">
        <v>37</v>
      </c>
      <c r="F31" s="18" t="s">
        <v>22</v>
      </c>
      <c r="G31" s="32">
        <v>12</v>
      </c>
      <c r="H31" s="32"/>
      <c r="I31" s="32">
        <v>69696</v>
      </c>
      <c r="J31" s="15">
        <v>12</v>
      </c>
      <c r="K31" s="15">
        <v>69696</v>
      </c>
      <c r="L31" s="15"/>
      <c r="M31" s="15"/>
      <c r="N31" s="15"/>
      <c r="O31" s="15"/>
      <c r="P31" s="15"/>
      <c r="Q31" s="15"/>
      <c r="R31" s="16"/>
      <c r="S31" s="3"/>
      <c r="T31" s="3"/>
      <c r="U31" s="3"/>
      <c r="V31" s="3"/>
      <c r="W31" s="3"/>
      <c r="X31" s="3"/>
      <c r="Y31" s="3"/>
    </row>
    <row r="32" spans="1:25" ht="17.25" customHeight="1" x14ac:dyDescent="0.25">
      <c r="A32" s="9"/>
      <c r="B32" s="10"/>
      <c r="C32" s="10"/>
      <c r="D32" s="11">
        <v>4.12</v>
      </c>
      <c r="E32" s="30" t="s">
        <v>38</v>
      </c>
      <c r="F32" s="18" t="s">
        <v>22</v>
      </c>
      <c r="G32" s="32">
        <v>12</v>
      </c>
      <c r="H32" s="32"/>
      <c r="I32" s="34">
        <f>878400+123357.6</f>
        <v>1001757.6</v>
      </c>
      <c r="J32" s="15">
        <v>12</v>
      </c>
      <c r="K32" s="15">
        <v>1001758</v>
      </c>
      <c r="L32" s="15"/>
      <c r="M32" s="15"/>
      <c r="N32" s="15"/>
      <c r="O32" s="15"/>
      <c r="P32" s="15"/>
      <c r="Q32" s="15"/>
      <c r="R32" s="16"/>
      <c r="S32" s="3"/>
      <c r="T32" s="3"/>
      <c r="U32" s="3"/>
      <c r="V32" s="3"/>
      <c r="W32" s="3"/>
      <c r="X32" s="3"/>
      <c r="Y32" s="3"/>
    </row>
    <row r="33" spans="1:25" ht="17.25" customHeight="1" x14ac:dyDescent="0.25">
      <c r="A33" s="9"/>
      <c r="B33" s="10"/>
      <c r="C33" s="10"/>
      <c r="D33" s="11">
        <v>4.13</v>
      </c>
      <c r="E33" s="30" t="s">
        <v>334</v>
      </c>
      <c r="F33" s="18" t="s">
        <v>17</v>
      </c>
      <c r="G33" s="32">
        <v>1</v>
      </c>
      <c r="H33" s="32"/>
      <c r="I33" s="34">
        <f>O33</f>
        <v>166487</v>
      </c>
      <c r="J33" s="15"/>
      <c r="K33" s="15"/>
      <c r="L33" s="15"/>
      <c r="M33" s="15"/>
      <c r="N33" s="15">
        <v>1</v>
      </c>
      <c r="O33" s="15">
        <f>67000+99487</f>
        <v>166487</v>
      </c>
      <c r="P33" s="15"/>
      <c r="Q33" s="15"/>
      <c r="R33" s="16"/>
      <c r="S33" s="3"/>
      <c r="T33" s="3"/>
      <c r="U33" s="3"/>
      <c r="V33" s="3"/>
      <c r="W33" s="3"/>
      <c r="X33" s="3"/>
      <c r="Y33" s="3"/>
    </row>
    <row r="34" spans="1:25" s="7" customFormat="1" ht="17.25" customHeight="1" x14ac:dyDescent="0.2">
      <c r="A34" s="35"/>
      <c r="B34" s="36"/>
      <c r="C34" s="36"/>
      <c r="D34" s="37"/>
      <c r="E34" s="38"/>
      <c r="F34" s="39"/>
      <c r="G34" s="23"/>
      <c r="H34" s="23"/>
      <c r="I34" s="40">
        <f>SUM(I21:I33)</f>
        <v>2547637.64</v>
      </c>
      <c r="J34" s="40"/>
      <c r="K34" s="40">
        <f t="shared" ref="K34:Q34" si="0">SUM(K21:K33)</f>
        <v>2111151</v>
      </c>
      <c r="L34" s="40"/>
      <c r="M34" s="40">
        <f t="shared" si="0"/>
        <v>30000</v>
      </c>
      <c r="N34" s="40"/>
      <c r="O34" s="40">
        <f t="shared" si="0"/>
        <v>286487</v>
      </c>
      <c r="P34" s="40"/>
      <c r="Q34" s="40">
        <f t="shared" si="0"/>
        <v>120000</v>
      </c>
      <c r="R34" s="41"/>
      <c r="S34" s="85"/>
      <c r="T34" s="6"/>
      <c r="U34" s="6"/>
      <c r="V34" s="6"/>
      <c r="W34" s="6"/>
      <c r="X34" s="6"/>
      <c r="Y34" s="6"/>
    </row>
    <row r="35" spans="1:25" ht="17.25" customHeight="1" x14ac:dyDescent="0.25">
      <c r="A35" s="9"/>
      <c r="B35" s="10"/>
      <c r="C35" s="10"/>
      <c r="D35" s="11">
        <v>5</v>
      </c>
      <c r="E35" s="12" t="s">
        <v>39</v>
      </c>
      <c r="F35" s="18"/>
      <c r="G35" s="32"/>
      <c r="H35" s="32"/>
      <c r="I35" s="34"/>
      <c r="J35" s="15"/>
      <c r="K35" s="15"/>
      <c r="L35" s="15"/>
      <c r="M35" s="15"/>
      <c r="N35" s="15"/>
      <c r="O35" s="15"/>
      <c r="P35" s="15"/>
      <c r="Q35" s="15"/>
      <c r="R35" s="16"/>
      <c r="S35" s="3"/>
      <c r="T35" s="3"/>
      <c r="U35" s="3"/>
      <c r="V35" s="3"/>
      <c r="W35" s="3"/>
      <c r="X35" s="3"/>
      <c r="Y35" s="3"/>
    </row>
    <row r="36" spans="1:25" ht="17.25" customHeight="1" x14ac:dyDescent="0.25">
      <c r="A36" s="9"/>
      <c r="B36" s="10"/>
      <c r="C36" s="10"/>
      <c r="D36" s="11">
        <v>5.0999999999999996</v>
      </c>
      <c r="E36" s="30" t="s">
        <v>27</v>
      </c>
      <c r="F36" s="18" t="s">
        <v>17</v>
      </c>
      <c r="G36" s="32">
        <v>1</v>
      </c>
      <c r="H36" s="32"/>
      <c r="I36" s="34">
        <v>70000</v>
      </c>
      <c r="J36" s="32">
        <v>1</v>
      </c>
      <c r="K36" s="34">
        <v>70000</v>
      </c>
      <c r="L36" s="15"/>
      <c r="M36" s="15"/>
      <c r="N36" s="15"/>
      <c r="O36" s="15"/>
      <c r="P36" s="15"/>
      <c r="Q36" s="15"/>
      <c r="R36" s="16"/>
      <c r="S36" s="3"/>
      <c r="T36" s="3"/>
      <c r="U36" s="3"/>
      <c r="V36" s="3"/>
      <c r="W36" s="3"/>
      <c r="X36" s="3"/>
      <c r="Y36" s="3"/>
    </row>
    <row r="37" spans="1:25" ht="17.25" customHeight="1" x14ac:dyDescent="0.25">
      <c r="A37" s="9"/>
      <c r="B37" s="10"/>
      <c r="C37" s="10"/>
      <c r="D37" s="11">
        <v>5.2</v>
      </c>
      <c r="E37" s="31" t="s">
        <v>28</v>
      </c>
      <c r="F37" s="18" t="s">
        <v>17</v>
      </c>
      <c r="G37" s="32">
        <v>1</v>
      </c>
      <c r="H37" s="32"/>
      <c r="I37" s="34">
        <v>70000</v>
      </c>
      <c r="J37" s="32"/>
      <c r="K37" s="34"/>
      <c r="L37" s="15"/>
      <c r="M37" s="15"/>
      <c r="N37" s="15"/>
      <c r="O37" s="15"/>
      <c r="P37" s="15"/>
      <c r="Q37" s="15">
        <v>70000</v>
      </c>
      <c r="R37" s="16"/>
      <c r="S37" s="3"/>
      <c r="T37" s="3"/>
      <c r="U37" s="3"/>
      <c r="V37" s="3"/>
      <c r="W37" s="3"/>
      <c r="X37" s="3"/>
      <c r="Y37" s="3"/>
    </row>
    <row r="38" spans="1:25" ht="17.25" customHeight="1" x14ac:dyDescent="0.25">
      <c r="A38" s="9"/>
      <c r="B38" s="10"/>
      <c r="C38" s="10"/>
      <c r="D38" s="11">
        <v>5.3</v>
      </c>
      <c r="E38" s="31" t="s">
        <v>29</v>
      </c>
      <c r="F38" s="18" t="s">
        <v>17</v>
      </c>
      <c r="G38" s="32">
        <v>1</v>
      </c>
      <c r="H38" s="32"/>
      <c r="I38" s="34">
        <v>100000</v>
      </c>
      <c r="J38" s="32"/>
      <c r="K38" s="34"/>
      <c r="L38" s="15"/>
      <c r="M38" s="15"/>
      <c r="N38" s="15"/>
      <c r="O38" s="15"/>
      <c r="P38" s="15"/>
      <c r="Q38" s="15">
        <v>100000</v>
      </c>
      <c r="R38" s="16"/>
      <c r="S38" s="3"/>
      <c r="T38" s="3"/>
      <c r="U38" s="3"/>
      <c r="V38" s="3"/>
      <c r="W38" s="3"/>
      <c r="X38" s="3"/>
      <c r="Y38" s="3"/>
    </row>
    <row r="39" spans="1:25" ht="17.25" customHeight="1" x14ac:dyDescent="0.25">
      <c r="A39" s="9"/>
      <c r="B39" s="10"/>
      <c r="C39" s="10"/>
      <c r="D39" s="11">
        <v>5.4</v>
      </c>
      <c r="E39" s="31" t="s">
        <v>30</v>
      </c>
      <c r="F39" s="18" t="s">
        <v>17</v>
      </c>
      <c r="G39" s="32">
        <v>1</v>
      </c>
      <c r="H39" s="32"/>
      <c r="I39" s="34">
        <v>70000</v>
      </c>
      <c r="J39" s="32"/>
      <c r="K39" s="34"/>
      <c r="L39" s="15"/>
      <c r="M39" s="15"/>
      <c r="N39" s="15"/>
      <c r="O39" s="15"/>
      <c r="P39" s="15"/>
      <c r="Q39" s="15">
        <v>70000</v>
      </c>
      <c r="R39" s="16"/>
      <c r="S39" s="3"/>
      <c r="T39" s="3"/>
      <c r="U39" s="3"/>
      <c r="V39" s="3"/>
      <c r="W39" s="3"/>
      <c r="X39" s="3"/>
      <c r="Y39" s="3"/>
    </row>
    <row r="40" spans="1:25" ht="17.25" customHeight="1" x14ac:dyDescent="0.25">
      <c r="A40" s="9"/>
      <c r="B40" s="10"/>
      <c r="C40" s="10"/>
      <c r="D40" s="11">
        <v>5.5</v>
      </c>
      <c r="E40" s="31" t="s">
        <v>40</v>
      </c>
      <c r="F40" s="18" t="s">
        <v>17</v>
      </c>
      <c r="G40" s="32">
        <v>1</v>
      </c>
      <c r="H40" s="32"/>
      <c r="I40" s="34">
        <v>180000</v>
      </c>
      <c r="J40" s="32"/>
      <c r="K40" s="34"/>
      <c r="L40" s="15"/>
      <c r="M40" s="15"/>
      <c r="N40" s="15"/>
      <c r="O40" s="15">
        <f>I40*30/100</f>
        <v>54000</v>
      </c>
      <c r="P40" s="15"/>
      <c r="Q40" s="15">
        <f>I40*70/100</f>
        <v>126000</v>
      </c>
      <c r="R40" s="16"/>
      <c r="S40" s="3"/>
      <c r="T40" s="3"/>
      <c r="U40" s="3"/>
      <c r="V40" s="3"/>
      <c r="W40" s="3"/>
      <c r="X40" s="3"/>
      <c r="Y40" s="3"/>
    </row>
    <row r="41" spans="1:25" ht="17.25" customHeight="1" x14ac:dyDescent="0.25">
      <c r="A41" s="9"/>
      <c r="B41" s="10"/>
      <c r="C41" s="10"/>
      <c r="D41" s="11"/>
      <c r="E41" s="31"/>
      <c r="F41" s="18"/>
      <c r="G41" s="32"/>
      <c r="H41" s="32"/>
      <c r="I41" s="40">
        <f>SUM(I36:I40)</f>
        <v>490000</v>
      </c>
      <c r="J41" s="32"/>
      <c r="K41" s="40">
        <f>SUM(K36:K40)</f>
        <v>70000</v>
      </c>
      <c r="L41" s="15"/>
      <c r="M41" s="40">
        <f>SUM(M36:M40)</f>
        <v>0</v>
      </c>
      <c r="N41" s="15"/>
      <c r="O41" s="40">
        <f>SUM(O36:O40)</f>
        <v>54000</v>
      </c>
      <c r="P41" s="15"/>
      <c r="Q41" s="40">
        <f>SUM(Q37:Q40)</f>
        <v>366000</v>
      </c>
      <c r="R41" s="16"/>
      <c r="S41" s="84"/>
      <c r="T41" s="3"/>
      <c r="U41" s="3"/>
      <c r="V41" s="3"/>
      <c r="W41" s="3"/>
      <c r="X41" s="3"/>
      <c r="Y41" s="3"/>
    </row>
    <row r="42" spans="1:25" ht="17.25" customHeight="1" x14ac:dyDescent="0.25">
      <c r="A42" s="9"/>
      <c r="B42" s="10"/>
      <c r="C42" s="10"/>
      <c r="D42" s="11"/>
      <c r="E42" s="31"/>
      <c r="F42" s="18"/>
      <c r="G42" s="32"/>
      <c r="H42" s="32"/>
      <c r="I42" s="40"/>
      <c r="J42" s="32"/>
      <c r="K42" s="40"/>
      <c r="L42" s="15"/>
      <c r="M42" s="40"/>
      <c r="N42" s="15"/>
      <c r="O42" s="40"/>
      <c r="P42" s="15"/>
      <c r="Q42" s="40"/>
      <c r="R42" s="16"/>
      <c r="S42" s="3"/>
      <c r="T42" s="3"/>
      <c r="U42" s="3"/>
      <c r="V42" s="3"/>
      <c r="W42" s="3"/>
      <c r="X42" s="3"/>
      <c r="Y42" s="3"/>
    </row>
    <row r="43" spans="1:25" ht="16.5" customHeight="1" x14ac:dyDescent="0.25">
      <c r="A43" s="9"/>
      <c r="B43" s="10"/>
      <c r="C43" s="10"/>
      <c r="D43" s="11">
        <v>6</v>
      </c>
      <c r="E43" s="12" t="s">
        <v>41</v>
      </c>
      <c r="F43" s="22" t="s">
        <v>17</v>
      </c>
      <c r="G43" s="23">
        <f>J43+L43+N43+P43</f>
        <v>700</v>
      </c>
      <c r="H43" s="23"/>
      <c r="I43" s="23">
        <f t="shared" ref="I43:Q43" si="1">SUM(I44:I44)</f>
        <v>1280000</v>
      </c>
      <c r="J43" s="23">
        <f t="shared" si="1"/>
        <v>550</v>
      </c>
      <c r="K43" s="23">
        <f t="shared" si="1"/>
        <v>1070000</v>
      </c>
      <c r="L43" s="23">
        <f t="shared" si="1"/>
        <v>50</v>
      </c>
      <c r="M43" s="23">
        <f t="shared" si="1"/>
        <v>70000</v>
      </c>
      <c r="N43" s="23">
        <f t="shared" si="1"/>
        <v>50</v>
      </c>
      <c r="O43" s="23">
        <f t="shared" si="1"/>
        <v>70000</v>
      </c>
      <c r="P43" s="23">
        <f t="shared" si="1"/>
        <v>50</v>
      </c>
      <c r="Q43" s="23">
        <f t="shared" si="1"/>
        <v>70000</v>
      </c>
      <c r="R43" s="16"/>
      <c r="S43" s="3"/>
      <c r="T43" s="3"/>
      <c r="U43" s="3"/>
      <c r="V43" s="3"/>
      <c r="W43" s="3"/>
      <c r="X43" s="3"/>
      <c r="Y43" s="3"/>
    </row>
    <row r="44" spans="1:25" ht="16.5" customHeight="1" x14ac:dyDescent="0.25">
      <c r="A44" s="9"/>
      <c r="B44" s="10"/>
      <c r="C44" s="10"/>
      <c r="D44" s="11">
        <v>6.1</v>
      </c>
      <c r="E44" s="30" t="s">
        <v>41</v>
      </c>
      <c r="F44" s="42" t="s">
        <v>17</v>
      </c>
      <c r="G44" s="32">
        <f>J44+L44+N44+P44</f>
        <v>700</v>
      </c>
      <c r="H44" s="32"/>
      <c r="I44" s="32">
        <v>1280000</v>
      </c>
      <c r="J44" s="15">
        <v>550</v>
      </c>
      <c r="K44" s="15">
        <v>1070000</v>
      </c>
      <c r="L44" s="15">
        <v>50</v>
      </c>
      <c r="M44" s="15">
        <v>70000</v>
      </c>
      <c r="N44" s="15">
        <v>50</v>
      </c>
      <c r="O44" s="15">
        <v>70000</v>
      </c>
      <c r="P44" s="15">
        <v>50</v>
      </c>
      <c r="Q44" s="15">
        <v>70000</v>
      </c>
      <c r="R44" s="16"/>
      <c r="S44" s="3"/>
      <c r="T44" s="3"/>
      <c r="U44" s="3"/>
      <c r="V44" s="3"/>
      <c r="W44" s="3"/>
      <c r="X44" s="3"/>
      <c r="Y44" s="3"/>
    </row>
    <row r="45" spans="1:25" ht="16.5" customHeight="1" x14ac:dyDescent="0.25">
      <c r="A45" s="9"/>
      <c r="B45" s="10"/>
      <c r="C45" s="10"/>
      <c r="D45" s="11"/>
      <c r="E45" s="12"/>
      <c r="F45" s="22"/>
      <c r="G45" s="23"/>
      <c r="H45" s="23"/>
      <c r="I45" s="23"/>
      <c r="J45" s="15"/>
      <c r="K45" s="15"/>
      <c r="L45" s="15"/>
      <c r="M45" s="15"/>
      <c r="N45" s="15"/>
      <c r="O45" s="15"/>
      <c r="P45" s="15"/>
      <c r="Q45" s="15"/>
      <c r="R45" s="16"/>
      <c r="S45" s="3"/>
      <c r="T45" s="3"/>
      <c r="U45" s="3"/>
      <c r="V45" s="3"/>
      <c r="W45" s="3"/>
      <c r="X45" s="3"/>
      <c r="Y45" s="3"/>
    </row>
    <row r="46" spans="1:25" ht="17.25" customHeight="1" x14ac:dyDescent="0.25">
      <c r="A46" s="9"/>
      <c r="B46" s="10"/>
      <c r="C46" s="10"/>
      <c r="D46" s="11">
        <v>7</v>
      </c>
      <c r="E46" s="12" t="s">
        <v>42</v>
      </c>
      <c r="F46" s="22"/>
      <c r="G46" s="23"/>
      <c r="H46" s="23"/>
      <c r="I46" s="23"/>
      <c r="J46" s="15"/>
      <c r="K46" s="15"/>
      <c r="L46" s="15"/>
      <c r="M46" s="15"/>
      <c r="N46" s="15"/>
      <c r="O46" s="15"/>
      <c r="P46" s="15"/>
      <c r="Q46" s="15"/>
      <c r="R46" s="16"/>
      <c r="S46" s="3"/>
      <c r="T46" s="3"/>
      <c r="U46" s="3"/>
      <c r="V46" s="3"/>
      <c r="W46" s="3"/>
      <c r="X46" s="3"/>
      <c r="Y46" s="3"/>
    </row>
    <row r="47" spans="1:25" ht="17.25" customHeight="1" x14ac:dyDescent="0.25">
      <c r="A47" s="9"/>
      <c r="B47" s="10"/>
      <c r="C47" s="10"/>
      <c r="D47" s="11">
        <v>7.1</v>
      </c>
      <c r="E47" s="17" t="s">
        <v>43</v>
      </c>
      <c r="F47" s="18" t="s">
        <v>17</v>
      </c>
      <c r="G47" s="15">
        <v>1</v>
      </c>
      <c r="H47" s="15"/>
      <c r="I47" s="15">
        <v>2668442</v>
      </c>
      <c r="J47" s="15"/>
      <c r="K47" s="15"/>
      <c r="L47" s="15"/>
      <c r="M47" s="15"/>
      <c r="N47" s="15">
        <v>1</v>
      </c>
      <c r="O47" s="15">
        <v>200000</v>
      </c>
      <c r="P47" s="15">
        <v>1</v>
      </c>
      <c r="Q47" s="15">
        <v>2468442</v>
      </c>
      <c r="R47" s="16"/>
      <c r="S47" s="3"/>
      <c r="T47" s="3"/>
      <c r="U47" s="3"/>
      <c r="V47" s="3"/>
      <c r="W47" s="3"/>
      <c r="X47" s="3"/>
      <c r="Y47" s="3"/>
    </row>
    <row r="48" spans="1:25" ht="17.25" customHeight="1" x14ac:dyDescent="0.25">
      <c r="A48" s="9"/>
      <c r="B48" s="10"/>
      <c r="C48" s="10"/>
      <c r="D48" s="11">
        <v>7.2</v>
      </c>
      <c r="E48" s="17" t="s">
        <v>333</v>
      </c>
      <c r="F48" s="18" t="s">
        <v>17</v>
      </c>
      <c r="G48" s="15">
        <v>43</v>
      </c>
      <c r="H48" s="15"/>
      <c r="I48" s="15">
        <v>840000</v>
      </c>
      <c r="J48" s="15"/>
      <c r="K48" s="15"/>
      <c r="L48" s="15"/>
      <c r="M48" s="15"/>
      <c r="N48" s="15">
        <v>43</v>
      </c>
      <c r="O48" s="26">
        <v>840000</v>
      </c>
      <c r="P48" s="15"/>
      <c r="Q48" s="15"/>
      <c r="R48" s="16"/>
      <c r="S48" s="3"/>
      <c r="T48" s="3"/>
      <c r="U48" s="3"/>
      <c r="V48" s="3"/>
      <c r="W48" s="3"/>
      <c r="X48" s="3"/>
      <c r="Y48" s="3"/>
    </row>
    <row r="49" spans="1:25" ht="17.25" customHeight="1" x14ac:dyDescent="0.25">
      <c r="A49" s="9"/>
      <c r="B49" s="10"/>
      <c r="C49" s="10"/>
      <c r="D49" s="11">
        <v>7.3</v>
      </c>
      <c r="E49" s="17" t="s">
        <v>44</v>
      </c>
      <c r="F49" s="18" t="s">
        <v>17</v>
      </c>
      <c r="G49" s="15">
        <v>1</v>
      </c>
      <c r="H49" s="15"/>
      <c r="I49" s="15">
        <v>50000</v>
      </c>
      <c r="J49" s="15"/>
      <c r="K49" s="15"/>
      <c r="L49" s="15"/>
      <c r="M49" s="15"/>
      <c r="N49" s="15"/>
      <c r="O49" s="15"/>
      <c r="P49" s="15">
        <v>1</v>
      </c>
      <c r="Q49" s="15">
        <v>50000</v>
      </c>
      <c r="R49" s="16"/>
      <c r="S49" s="3"/>
      <c r="T49" s="3"/>
      <c r="U49" s="3"/>
      <c r="V49" s="3"/>
      <c r="W49" s="3"/>
      <c r="X49" s="3"/>
      <c r="Y49" s="3"/>
    </row>
    <row r="50" spans="1:25" s="3" customFormat="1" ht="17.25" customHeight="1" x14ac:dyDescent="0.25">
      <c r="A50" s="9"/>
      <c r="B50" s="10"/>
      <c r="C50" s="10"/>
      <c r="D50" s="11">
        <v>7.4</v>
      </c>
      <c r="E50" s="43" t="s">
        <v>45</v>
      </c>
      <c r="F50" s="18" t="s">
        <v>17</v>
      </c>
      <c r="G50" s="15">
        <v>1</v>
      </c>
      <c r="H50" s="15"/>
      <c r="I50" s="24">
        <v>200000</v>
      </c>
      <c r="J50" s="15"/>
      <c r="K50" s="15"/>
      <c r="L50" s="15"/>
      <c r="M50" s="15"/>
      <c r="N50" s="15">
        <v>1</v>
      </c>
      <c r="O50" s="15">
        <v>200000</v>
      </c>
      <c r="P50" s="15"/>
      <c r="Q50" s="15"/>
      <c r="R50" s="16"/>
    </row>
    <row r="51" spans="1:25" s="3" customFormat="1" ht="17.25" customHeight="1" x14ac:dyDescent="0.25">
      <c r="A51" s="9"/>
      <c r="B51" s="10"/>
      <c r="C51" s="10"/>
      <c r="D51" s="11">
        <v>7.5</v>
      </c>
      <c r="E51" s="43" t="s">
        <v>46</v>
      </c>
      <c r="F51" s="18" t="s">
        <v>17</v>
      </c>
      <c r="G51" s="15">
        <v>1</v>
      </c>
      <c r="H51" s="15"/>
      <c r="I51" s="24">
        <v>126277</v>
      </c>
      <c r="J51" s="15"/>
      <c r="K51" s="15"/>
      <c r="L51" s="15"/>
      <c r="M51" s="15"/>
      <c r="N51" s="15">
        <v>1</v>
      </c>
      <c r="O51" s="15">
        <f>29548.5+96728.99</f>
        <v>126277.49</v>
      </c>
      <c r="P51" s="15"/>
      <c r="Q51" s="15"/>
      <c r="R51" s="16"/>
    </row>
    <row r="52" spans="1:25" s="3" customFormat="1" ht="17.25" customHeight="1" x14ac:dyDescent="0.25">
      <c r="A52" s="9"/>
      <c r="B52" s="10"/>
      <c r="C52" s="10"/>
      <c r="D52" s="11">
        <v>7.6</v>
      </c>
      <c r="E52" s="43" t="s">
        <v>47</v>
      </c>
      <c r="F52" s="18" t="s">
        <v>17</v>
      </c>
      <c r="G52" s="15">
        <v>1</v>
      </c>
      <c r="H52" s="15"/>
      <c r="I52" s="24">
        <v>220000</v>
      </c>
      <c r="J52" s="15"/>
      <c r="K52" s="15"/>
      <c r="L52" s="15"/>
      <c r="M52" s="15"/>
      <c r="N52" s="15"/>
      <c r="O52" s="15"/>
      <c r="P52" s="15">
        <v>1</v>
      </c>
      <c r="Q52" s="15">
        <v>220000</v>
      </c>
      <c r="R52" s="16"/>
    </row>
    <row r="53" spans="1:25" s="3" customFormat="1" ht="17.25" customHeight="1" x14ac:dyDescent="0.25">
      <c r="A53" s="9"/>
      <c r="B53" s="10"/>
      <c r="C53" s="10"/>
      <c r="D53" s="11">
        <v>7.7</v>
      </c>
      <c r="E53" s="43" t="s">
        <v>48</v>
      </c>
      <c r="F53" s="18" t="s">
        <v>17</v>
      </c>
      <c r="G53" s="15">
        <v>1</v>
      </c>
      <c r="H53" s="15"/>
      <c r="I53" s="24">
        <v>40000</v>
      </c>
      <c r="J53" s="15"/>
      <c r="K53" s="15"/>
      <c r="L53" s="15"/>
      <c r="M53" s="15"/>
      <c r="N53" s="15"/>
      <c r="O53" s="15"/>
      <c r="P53" s="15">
        <v>1</v>
      </c>
      <c r="Q53" s="15">
        <v>40000</v>
      </c>
      <c r="R53" s="16"/>
    </row>
    <row r="54" spans="1:25" s="3" customFormat="1" ht="17.25" customHeight="1" x14ac:dyDescent="0.25">
      <c r="A54" s="9"/>
      <c r="B54" s="10"/>
      <c r="C54" s="10"/>
      <c r="D54" s="11">
        <v>7.8</v>
      </c>
      <c r="E54" s="43" t="s">
        <v>49</v>
      </c>
      <c r="F54" s="18" t="s">
        <v>17</v>
      </c>
      <c r="G54" s="15">
        <v>1</v>
      </c>
      <c r="H54" s="15"/>
      <c r="I54" s="24">
        <f>O54+Q54</f>
        <v>266528</v>
      </c>
      <c r="J54" s="15"/>
      <c r="K54" s="15"/>
      <c r="L54" s="15"/>
      <c r="M54" s="15"/>
      <c r="N54" s="15">
        <v>1</v>
      </c>
      <c r="O54" s="15">
        <v>66528</v>
      </c>
      <c r="P54" s="15">
        <v>1</v>
      </c>
      <c r="Q54" s="15">
        <v>200000</v>
      </c>
      <c r="R54" s="16"/>
    </row>
    <row r="55" spans="1:25" s="3" customFormat="1" ht="17.25" customHeight="1" x14ac:dyDescent="0.25">
      <c r="A55" s="9"/>
      <c r="B55" s="10"/>
      <c r="C55" s="10"/>
      <c r="D55" s="11">
        <v>7.9</v>
      </c>
      <c r="E55" s="43" t="s">
        <v>50</v>
      </c>
      <c r="F55" s="18" t="s">
        <v>17</v>
      </c>
      <c r="G55" s="15">
        <v>1</v>
      </c>
      <c r="H55" s="15"/>
      <c r="I55" s="24">
        <v>240000</v>
      </c>
      <c r="J55" s="15"/>
      <c r="K55" s="15"/>
      <c r="L55" s="15"/>
      <c r="M55" s="15"/>
      <c r="N55" s="15">
        <v>1</v>
      </c>
      <c r="O55" s="15">
        <v>150000</v>
      </c>
      <c r="P55" s="15">
        <v>1</v>
      </c>
      <c r="Q55" s="15">
        <v>90000</v>
      </c>
      <c r="R55" s="16"/>
    </row>
    <row r="56" spans="1:25" s="3" customFormat="1" ht="17.25" customHeight="1" x14ac:dyDescent="0.25">
      <c r="A56" s="9"/>
      <c r="B56" s="10"/>
      <c r="C56" s="10"/>
      <c r="D56" s="11">
        <v>7.1</v>
      </c>
      <c r="E56" s="43" t="s">
        <v>51</v>
      </c>
      <c r="F56" s="18" t="s">
        <v>17</v>
      </c>
      <c r="G56" s="15">
        <v>1</v>
      </c>
      <c r="H56" s="15"/>
      <c r="I56" s="24">
        <v>200000</v>
      </c>
      <c r="J56" s="15"/>
      <c r="K56" s="15"/>
      <c r="L56" s="15"/>
      <c r="M56" s="15"/>
      <c r="N56" s="15"/>
      <c r="O56" s="15"/>
      <c r="P56" s="15">
        <v>1</v>
      </c>
      <c r="Q56" s="15">
        <v>200000</v>
      </c>
      <c r="R56" s="16"/>
    </row>
    <row r="57" spans="1:25" s="3" customFormat="1" ht="17.25" customHeight="1" x14ac:dyDescent="0.25">
      <c r="A57" s="9"/>
      <c r="B57" s="10"/>
      <c r="C57" s="10"/>
      <c r="D57" s="11">
        <v>7.11</v>
      </c>
      <c r="E57" s="43" t="s">
        <v>353</v>
      </c>
      <c r="F57" s="18" t="s">
        <v>22</v>
      </c>
      <c r="G57" s="15">
        <v>9</v>
      </c>
      <c r="H57" s="15"/>
      <c r="I57" s="24">
        <f>M57+O57+Q57</f>
        <v>225000</v>
      </c>
      <c r="J57" s="15"/>
      <c r="K57" s="15"/>
      <c r="L57" s="15">
        <v>3</v>
      </c>
      <c r="M57" s="15">
        <v>75000</v>
      </c>
      <c r="N57" s="15">
        <v>3</v>
      </c>
      <c r="O57" s="15">
        <v>75000</v>
      </c>
      <c r="P57" s="15">
        <v>3</v>
      </c>
      <c r="Q57" s="15">
        <v>75000</v>
      </c>
      <c r="R57" s="16"/>
    </row>
    <row r="58" spans="1:25" s="3" customFormat="1" ht="17.25" customHeight="1" x14ac:dyDescent="0.25">
      <c r="A58" s="9"/>
      <c r="B58" s="10"/>
      <c r="C58" s="10"/>
      <c r="D58" s="11">
        <v>7.12</v>
      </c>
      <c r="E58" s="43" t="s">
        <v>360</v>
      </c>
      <c r="F58" s="18" t="s">
        <v>17</v>
      </c>
      <c r="G58" s="15">
        <v>1</v>
      </c>
      <c r="H58" s="15"/>
      <c r="I58" s="24">
        <v>2400000</v>
      </c>
      <c r="J58" s="15"/>
      <c r="K58" s="15"/>
      <c r="L58" s="15"/>
      <c r="M58" s="15"/>
      <c r="N58" s="15">
        <v>1</v>
      </c>
      <c r="O58" s="15">
        <v>400000</v>
      </c>
      <c r="P58" s="15">
        <v>1</v>
      </c>
      <c r="Q58" s="15">
        <v>2000000</v>
      </c>
      <c r="R58" s="16"/>
    </row>
    <row r="59" spans="1:25" s="3" customFormat="1" ht="17.25" customHeight="1" x14ac:dyDescent="0.25">
      <c r="A59" s="9"/>
      <c r="B59" s="10"/>
      <c r="C59" s="10"/>
      <c r="D59" s="11"/>
      <c r="E59" s="38"/>
      <c r="F59" s="22"/>
      <c r="G59" s="23"/>
      <c r="H59" s="23"/>
      <c r="I59" s="23">
        <f>SUM(I47:I58)</f>
        <v>7476247</v>
      </c>
      <c r="J59" s="15"/>
      <c r="K59" s="15"/>
      <c r="L59" s="15"/>
      <c r="M59" s="23">
        <f>SUM(M47:M58)</f>
        <v>75000</v>
      </c>
      <c r="N59" s="15"/>
      <c r="O59" s="23">
        <f>SUM(O47:O58)</f>
        <v>2057805.49</v>
      </c>
      <c r="P59" s="15"/>
      <c r="Q59" s="21">
        <f>SUM(Q47:Q58)</f>
        <v>5343442</v>
      </c>
      <c r="R59" s="16"/>
      <c r="S59" s="84"/>
      <c r="T59" s="84"/>
    </row>
    <row r="60" spans="1:25" ht="16.5" customHeight="1" x14ac:dyDescent="0.25">
      <c r="A60" s="9"/>
      <c r="B60" s="10"/>
      <c r="C60" s="10"/>
      <c r="D60" s="11">
        <v>8</v>
      </c>
      <c r="E60" s="12" t="s">
        <v>52</v>
      </c>
      <c r="F60" s="22"/>
      <c r="G60" s="23"/>
      <c r="H60" s="23"/>
      <c r="I60" s="23"/>
      <c r="J60" s="15"/>
      <c r="K60" s="15"/>
      <c r="L60" s="15"/>
      <c r="M60" s="15"/>
      <c r="N60" s="15"/>
      <c r="O60" s="15"/>
      <c r="P60" s="15"/>
      <c r="Q60" s="15"/>
      <c r="R60" s="16"/>
      <c r="S60" s="3"/>
      <c r="T60" s="3"/>
      <c r="U60" s="3"/>
      <c r="V60" s="3"/>
      <c r="W60" s="3"/>
      <c r="X60" s="3"/>
      <c r="Y60" s="3"/>
    </row>
    <row r="61" spans="1:25" s="2" customFormat="1" ht="34.5" customHeight="1" x14ac:dyDescent="0.25">
      <c r="A61" s="9"/>
      <c r="B61" s="11"/>
      <c r="C61" s="11"/>
      <c r="D61" s="11">
        <v>8.1</v>
      </c>
      <c r="E61" s="17" t="s">
        <v>53</v>
      </c>
      <c r="F61" s="42" t="s">
        <v>24</v>
      </c>
      <c r="G61" s="32">
        <v>1</v>
      </c>
      <c r="H61" s="32"/>
      <c r="I61" s="32">
        <v>40000</v>
      </c>
      <c r="J61" s="32"/>
      <c r="K61" s="32"/>
      <c r="L61" s="15"/>
      <c r="M61" s="15"/>
      <c r="N61" s="15"/>
      <c r="O61" s="32"/>
      <c r="P61" s="15">
        <v>1</v>
      </c>
      <c r="Q61" s="15">
        <v>40000</v>
      </c>
      <c r="R61" s="16"/>
      <c r="S61" s="44"/>
      <c r="T61" s="44"/>
      <c r="U61" s="44"/>
      <c r="V61" s="44"/>
      <c r="W61" s="44"/>
      <c r="X61" s="44"/>
      <c r="Y61" s="44"/>
    </row>
    <row r="62" spans="1:25" ht="16.5" customHeight="1" x14ac:dyDescent="0.25">
      <c r="A62" s="9"/>
      <c r="B62" s="10"/>
      <c r="C62" s="10"/>
      <c r="D62" s="11">
        <v>8.1999999999999993</v>
      </c>
      <c r="E62" s="17" t="s">
        <v>54</v>
      </c>
      <c r="F62" s="42" t="s">
        <v>24</v>
      </c>
      <c r="G62" s="32">
        <v>10</v>
      </c>
      <c r="H62" s="32"/>
      <c r="I62" s="32">
        <v>5000</v>
      </c>
      <c r="J62" s="15"/>
      <c r="K62" s="15"/>
      <c r="L62" s="32"/>
      <c r="M62" s="32"/>
      <c r="N62" s="32"/>
      <c r="O62" s="32"/>
      <c r="P62" s="15">
        <v>10</v>
      </c>
      <c r="Q62" s="15">
        <v>5000</v>
      </c>
      <c r="R62" s="16"/>
      <c r="S62" s="3"/>
      <c r="T62" s="3"/>
      <c r="U62" s="3"/>
      <c r="V62" s="3"/>
      <c r="W62" s="3"/>
      <c r="X62" s="3"/>
      <c r="Y62" s="3"/>
    </row>
    <row r="63" spans="1:25" ht="16.5" customHeight="1" x14ac:dyDescent="0.25">
      <c r="A63" s="9"/>
      <c r="B63" s="10"/>
      <c r="C63" s="10"/>
      <c r="D63" s="11">
        <v>8.3000000000000007</v>
      </c>
      <c r="E63" s="17" t="s">
        <v>55</v>
      </c>
      <c r="F63" s="42" t="s">
        <v>24</v>
      </c>
      <c r="G63" s="32">
        <v>1</v>
      </c>
      <c r="H63" s="32"/>
      <c r="I63" s="32">
        <v>76000</v>
      </c>
      <c r="J63" s="15"/>
      <c r="K63" s="15"/>
      <c r="L63" s="32">
        <v>1</v>
      </c>
      <c r="M63" s="32">
        <v>26000</v>
      </c>
      <c r="N63" s="15"/>
      <c r="O63" s="15"/>
      <c r="P63" s="15">
        <v>1</v>
      </c>
      <c r="Q63" s="15">
        <v>50000</v>
      </c>
      <c r="R63" s="16"/>
      <c r="S63" s="3"/>
      <c r="T63" s="3"/>
      <c r="U63" s="3"/>
      <c r="V63" s="3"/>
      <c r="W63" s="3"/>
      <c r="X63" s="3"/>
      <c r="Y63" s="3"/>
    </row>
    <row r="64" spans="1:25" ht="16.5" customHeight="1" x14ac:dyDescent="0.25">
      <c r="A64" s="9"/>
      <c r="B64" s="10"/>
      <c r="C64" s="10"/>
      <c r="D64" s="11">
        <v>8.4</v>
      </c>
      <c r="E64" s="17" t="s">
        <v>56</v>
      </c>
      <c r="F64" s="42" t="s">
        <v>24</v>
      </c>
      <c r="G64" s="32">
        <v>1</v>
      </c>
      <c r="H64" s="32"/>
      <c r="I64" s="32">
        <v>20000</v>
      </c>
      <c r="J64" s="15"/>
      <c r="K64" s="15"/>
      <c r="L64" s="32">
        <v>1</v>
      </c>
      <c r="M64" s="32">
        <v>20000</v>
      </c>
      <c r="N64" s="15"/>
      <c r="O64" s="15"/>
      <c r="P64" s="15"/>
      <c r="Q64" s="15"/>
      <c r="R64" s="16"/>
      <c r="S64" s="3"/>
      <c r="T64" s="3"/>
      <c r="U64" s="3"/>
      <c r="V64" s="3"/>
      <c r="W64" s="3"/>
      <c r="X64" s="3"/>
      <c r="Y64" s="3"/>
    </row>
    <row r="65" spans="1:25" ht="16.5" customHeight="1" x14ac:dyDescent="0.25">
      <c r="A65" s="9"/>
      <c r="B65" s="10"/>
      <c r="C65" s="10"/>
      <c r="D65" s="11">
        <v>8.5</v>
      </c>
      <c r="E65" s="17" t="s">
        <v>57</v>
      </c>
      <c r="F65" s="42" t="s">
        <v>24</v>
      </c>
      <c r="G65" s="32">
        <v>4</v>
      </c>
      <c r="H65" s="32"/>
      <c r="I65" s="32">
        <v>60000</v>
      </c>
      <c r="J65" s="15"/>
      <c r="K65" s="15"/>
      <c r="L65" s="32">
        <v>4</v>
      </c>
      <c r="M65" s="32">
        <v>60000</v>
      </c>
      <c r="N65" s="15"/>
      <c r="O65" s="15"/>
      <c r="P65" s="15"/>
      <c r="Q65" s="15"/>
      <c r="R65" s="16"/>
      <c r="S65" s="3"/>
      <c r="T65" s="3"/>
      <c r="U65" s="3"/>
      <c r="V65" s="3"/>
      <c r="W65" s="3"/>
      <c r="X65" s="3"/>
      <c r="Y65" s="3"/>
    </row>
    <row r="66" spans="1:25" ht="16.5" customHeight="1" x14ac:dyDescent="0.25">
      <c r="A66" s="9"/>
      <c r="B66" s="10"/>
      <c r="C66" s="10"/>
      <c r="D66" s="11">
        <v>8.6</v>
      </c>
      <c r="E66" s="17" t="s">
        <v>58</v>
      </c>
      <c r="F66" s="42" t="s">
        <v>24</v>
      </c>
      <c r="G66" s="32">
        <v>3</v>
      </c>
      <c r="H66" s="32"/>
      <c r="I66" s="32">
        <v>21000</v>
      </c>
      <c r="J66" s="15"/>
      <c r="K66" s="15"/>
      <c r="L66" s="32">
        <v>3</v>
      </c>
      <c r="M66" s="32">
        <v>21000</v>
      </c>
      <c r="N66" s="15"/>
      <c r="O66" s="15"/>
      <c r="P66" s="15"/>
      <c r="Q66" s="15"/>
      <c r="R66" s="16"/>
      <c r="S66" s="3"/>
      <c r="T66" s="3"/>
      <c r="U66" s="3"/>
      <c r="V66" s="3"/>
      <c r="W66" s="3"/>
      <c r="X66" s="3"/>
      <c r="Y66" s="3"/>
    </row>
    <row r="67" spans="1:25" ht="16.5" customHeight="1" x14ac:dyDescent="0.25">
      <c r="A67" s="9"/>
      <c r="B67" s="10"/>
      <c r="C67" s="10"/>
      <c r="D67" s="11">
        <v>8.6999999999999993</v>
      </c>
      <c r="E67" s="17" t="s">
        <v>59</v>
      </c>
      <c r="F67" s="42" t="s">
        <v>24</v>
      </c>
      <c r="G67" s="32">
        <v>150</v>
      </c>
      <c r="H67" s="32"/>
      <c r="I67" s="32">
        <v>27000</v>
      </c>
      <c r="J67" s="15"/>
      <c r="K67" s="15"/>
      <c r="L67" s="15"/>
      <c r="M67" s="15"/>
      <c r="N67" s="15"/>
      <c r="O67" s="15"/>
      <c r="P67" s="32">
        <v>150</v>
      </c>
      <c r="Q67" s="32">
        <v>27000</v>
      </c>
      <c r="R67" s="16"/>
      <c r="S67" s="3"/>
      <c r="T67" s="3"/>
      <c r="U67" s="3"/>
      <c r="V67" s="3"/>
      <c r="W67" s="3"/>
      <c r="X67" s="3"/>
      <c r="Y67" s="3"/>
    </row>
    <row r="68" spans="1:25" ht="16.5" customHeight="1" x14ac:dyDescent="0.25">
      <c r="A68" s="9"/>
      <c r="B68" s="10"/>
      <c r="C68" s="10"/>
      <c r="D68" s="11">
        <v>8.8000000000000007</v>
      </c>
      <c r="E68" s="17" t="s">
        <v>60</v>
      </c>
      <c r="F68" s="42" t="s">
        <v>24</v>
      </c>
      <c r="G68" s="32">
        <v>200</v>
      </c>
      <c r="H68" s="32"/>
      <c r="I68" s="32">
        <v>12000</v>
      </c>
      <c r="J68" s="15"/>
      <c r="K68" s="15"/>
      <c r="L68" s="15"/>
      <c r="M68" s="15"/>
      <c r="N68" s="15"/>
      <c r="O68" s="15"/>
      <c r="P68" s="32">
        <v>200</v>
      </c>
      <c r="Q68" s="32">
        <v>12000</v>
      </c>
      <c r="R68" s="16"/>
      <c r="S68" s="3"/>
      <c r="T68" s="3"/>
      <c r="U68" s="3"/>
      <c r="V68" s="3"/>
      <c r="W68" s="3"/>
      <c r="X68" s="3"/>
      <c r="Y68" s="3"/>
    </row>
    <row r="69" spans="1:25" ht="16.5" customHeight="1" x14ac:dyDescent="0.25">
      <c r="A69" s="9"/>
      <c r="B69" s="10"/>
      <c r="C69" s="10"/>
      <c r="D69" s="11">
        <v>8.9</v>
      </c>
      <c r="E69" s="17" t="s">
        <v>61</v>
      </c>
      <c r="F69" s="42" t="s">
        <v>24</v>
      </c>
      <c r="G69" s="32">
        <v>50</v>
      </c>
      <c r="H69" s="32"/>
      <c r="I69" s="32">
        <v>6000</v>
      </c>
      <c r="J69" s="15"/>
      <c r="K69" s="15"/>
      <c r="L69" s="15"/>
      <c r="M69" s="15"/>
      <c r="N69" s="15"/>
      <c r="O69" s="15"/>
      <c r="P69" s="32">
        <v>50</v>
      </c>
      <c r="Q69" s="32">
        <v>6000</v>
      </c>
      <c r="R69" s="16"/>
      <c r="S69" s="3"/>
      <c r="T69" s="3"/>
      <c r="U69" s="3"/>
      <c r="V69" s="3"/>
      <c r="W69" s="3"/>
      <c r="X69" s="3"/>
      <c r="Y69" s="3"/>
    </row>
    <row r="70" spans="1:25" ht="16.5" customHeight="1" x14ac:dyDescent="0.25">
      <c r="A70" s="9"/>
      <c r="B70" s="10"/>
      <c r="C70" s="10"/>
      <c r="D70" s="33">
        <v>8.1</v>
      </c>
      <c r="E70" s="17" t="s">
        <v>62</v>
      </c>
      <c r="F70" s="42" t="s">
        <v>24</v>
      </c>
      <c r="G70" s="32">
        <v>100</v>
      </c>
      <c r="H70" s="32"/>
      <c r="I70" s="32">
        <v>5000</v>
      </c>
      <c r="J70" s="15"/>
      <c r="K70" s="15"/>
      <c r="L70" s="15"/>
      <c r="M70" s="15"/>
      <c r="N70" s="15"/>
      <c r="O70" s="15"/>
      <c r="P70" s="32">
        <v>100</v>
      </c>
      <c r="Q70" s="32">
        <v>5000</v>
      </c>
      <c r="R70" s="16"/>
      <c r="S70" s="3"/>
      <c r="T70" s="3"/>
      <c r="U70" s="3"/>
      <c r="V70" s="3"/>
      <c r="W70" s="3"/>
      <c r="X70" s="3"/>
      <c r="Y70" s="3"/>
    </row>
    <row r="71" spans="1:25" ht="16.5" customHeight="1" x14ac:dyDescent="0.25">
      <c r="A71" s="9"/>
      <c r="B71" s="10"/>
      <c r="C71" s="10"/>
      <c r="D71" s="11">
        <v>8.11</v>
      </c>
      <c r="E71" s="17" t="s">
        <v>63</v>
      </c>
      <c r="F71" s="42" t="s">
        <v>24</v>
      </c>
      <c r="G71" s="32">
        <v>100</v>
      </c>
      <c r="H71" s="32"/>
      <c r="I71" s="32">
        <v>12000</v>
      </c>
      <c r="J71" s="15"/>
      <c r="K71" s="15"/>
      <c r="L71" s="15"/>
      <c r="M71" s="15"/>
      <c r="N71" s="15"/>
      <c r="O71" s="15"/>
      <c r="P71" s="32">
        <v>100</v>
      </c>
      <c r="Q71" s="32">
        <v>12000</v>
      </c>
      <c r="R71" s="16"/>
      <c r="S71" s="3"/>
      <c r="T71" s="3"/>
      <c r="U71" s="3"/>
      <c r="V71" s="3"/>
      <c r="W71" s="3"/>
      <c r="X71" s="3"/>
      <c r="Y71" s="3"/>
    </row>
    <row r="72" spans="1:25" ht="16.5" customHeight="1" x14ac:dyDescent="0.25">
      <c r="A72" s="9"/>
      <c r="B72" s="10"/>
      <c r="C72" s="10"/>
      <c r="D72" s="11">
        <v>8.1199999999999992</v>
      </c>
      <c r="E72" s="17" t="s">
        <v>64</v>
      </c>
      <c r="F72" s="42" t="s">
        <v>24</v>
      </c>
      <c r="G72" s="32">
        <v>1</v>
      </c>
      <c r="H72" s="32"/>
      <c r="I72" s="32">
        <v>6000</v>
      </c>
      <c r="J72" s="15"/>
      <c r="K72" s="15"/>
      <c r="L72" s="15"/>
      <c r="M72" s="15"/>
      <c r="N72" s="15"/>
      <c r="O72" s="15"/>
      <c r="P72" s="32">
        <v>1</v>
      </c>
      <c r="Q72" s="32">
        <v>6000</v>
      </c>
      <c r="R72" s="16"/>
      <c r="S72" s="3"/>
      <c r="T72" s="3"/>
      <c r="U72" s="3"/>
      <c r="V72" s="3"/>
      <c r="W72" s="3"/>
      <c r="X72" s="3"/>
      <c r="Y72" s="3"/>
    </row>
    <row r="73" spans="1:25" ht="16.5" customHeight="1" x14ac:dyDescent="0.25">
      <c r="A73" s="9"/>
      <c r="B73" s="10"/>
      <c r="C73" s="10"/>
      <c r="D73" s="11">
        <v>8.1300000000000008</v>
      </c>
      <c r="E73" s="17" t="s">
        <v>65</v>
      </c>
      <c r="F73" s="42" t="s">
        <v>24</v>
      </c>
      <c r="G73" s="32"/>
      <c r="H73" s="32"/>
      <c r="I73" s="32">
        <f>38000+80000</f>
        <v>118000</v>
      </c>
      <c r="J73" s="15"/>
      <c r="K73" s="15"/>
      <c r="L73" s="15"/>
      <c r="M73" s="15"/>
      <c r="N73" s="15">
        <v>50</v>
      </c>
      <c r="O73" s="15">
        <v>80000</v>
      </c>
      <c r="P73" s="32"/>
      <c r="Q73" s="32">
        <v>38000</v>
      </c>
      <c r="R73" s="16"/>
      <c r="S73" s="3"/>
      <c r="T73" s="3"/>
      <c r="U73" s="3"/>
      <c r="V73" s="3"/>
      <c r="W73" s="3"/>
      <c r="X73" s="3"/>
      <c r="Y73" s="3"/>
    </row>
    <row r="74" spans="1:25" ht="16.5" customHeight="1" x14ac:dyDescent="0.25">
      <c r="A74" s="9"/>
      <c r="B74" s="10"/>
      <c r="C74" s="10"/>
      <c r="D74" s="11"/>
      <c r="E74" s="17"/>
      <c r="F74" s="42"/>
      <c r="G74" s="32"/>
      <c r="H74" s="32"/>
      <c r="I74" s="23">
        <f>SUM(I61:I73)</f>
        <v>408000</v>
      </c>
      <c r="J74" s="15"/>
      <c r="K74" s="23">
        <f>SUM(K61:K72)</f>
        <v>0</v>
      </c>
      <c r="L74" s="15"/>
      <c r="M74" s="23">
        <f>SUM(M61:M72)</f>
        <v>127000</v>
      </c>
      <c r="N74" s="15"/>
      <c r="O74" s="23">
        <f>SUM(O73)</f>
        <v>80000</v>
      </c>
      <c r="P74" s="32"/>
      <c r="Q74" s="23">
        <f>SUM(Q61:Q73)</f>
        <v>201000</v>
      </c>
      <c r="R74" s="16"/>
      <c r="S74" s="84"/>
      <c r="T74" s="3"/>
      <c r="U74" s="3"/>
      <c r="V74" s="3"/>
      <c r="W74" s="3"/>
      <c r="X74" s="3"/>
      <c r="Y74" s="3"/>
    </row>
    <row r="75" spans="1:25" ht="16.5" customHeight="1" x14ac:dyDescent="0.25">
      <c r="A75" s="9"/>
      <c r="B75" s="10"/>
      <c r="C75" s="10"/>
      <c r="D75" s="11">
        <v>9</v>
      </c>
      <c r="E75" s="12" t="s">
        <v>66</v>
      </c>
      <c r="F75" s="22"/>
      <c r="G75" s="23"/>
      <c r="H75" s="23"/>
      <c r="I75" s="23"/>
      <c r="J75" s="15"/>
      <c r="K75" s="15"/>
      <c r="L75" s="15"/>
      <c r="M75" s="15"/>
      <c r="N75" s="15"/>
      <c r="O75" s="15"/>
      <c r="P75" s="15"/>
      <c r="Q75" s="15"/>
      <c r="R75" s="16"/>
      <c r="S75" s="3"/>
      <c r="T75" s="3"/>
      <c r="U75" s="3"/>
      <c r="V75" s="3"/>
      <c r="W75" s="3"/>
      <c r="X75" s="3"/>
      <c r="Y75" s="3"/>
    </row>
    <row r="76" spans="1:25" ht="16.5" customHeight="1" x14ac:dyDescent="0.25">
      <c r="A76" s="9"/>
      <c r="B76" s="10"/>
      <c r="C76" s="10"/>
      <c r="D76" s="11">
        <v>9.1</v>
      </c>
      <c r="E76" s="30" t="s">
        <v>67</v>
      </c>
      <c r="F76" s="18" t="s">
        <v>17</v>
      </c>
      <c r="G76" s="32">
        <f>J76+L76+N76+P76</f>
        <v>11</v>
      </c>
      <c r="H76" s="32"/>
      <c r="I76" s="32">
        <f>K76+M76+O76+Q76</f>
        <v>82000</v>
      </c>
      <c r="J76" s="15">
        <v>2</v>
      </c>
      <c r="K76" s="15">
        <v>16000</v>
      </c>
      <c r="L76" s="15">
        <v>3</v>
      </c>
      <c r="M76" s="15">
        <v>24000</v>
      </c>
      <c r="N76" s="15">
        <v>3</v>
      </c>
      <c r="O76" s="15">
        <v>24000</v>
      </c>
      <c r="P76" s="15">
        <v>3</v>
      </c>
      <c r="Q76" s="15">
        <v>18000</v>
      </c>
      <c r="R76" s="16"/>
      <c r="S76" s="3"/>
      <c r="T76" s="3"/>
      <c r="U76" s="3"/>
      <c r="V76" s="3"/>
      <c r="W76" s="3"/>
      <c r="X76" s="3"/>
      <c r="Y76" s="3"/>
    </row>
    <row r="77" spans="1:25" ht="16.5" customHeight="1" x14ac:dyDescent="0.25">
      <c r="A77" s="9"/>
      <c r="B77" s="10"/>
      <c r="C77" s="10"/>
      <c r="D77" s="11">
        <v>9.1999999999999993</v>
      </c>
      <c r="E77" s="30" t="s">
        <v>68</v>
      </c>
      <c r="F77" s="18" t="s">
        <v>17</v>
      </c>
      <c r="G77" s="32">
        <f>J77+L77+N77+P77</f>
        <v>17</v>
      </c>
      <c r="H77" s="32"/>
      <c r="I77" s="32">
        <f>K77+M77+O77+Q77</f>
        <v>136000</v>
      </c>
      <c r="J77" s="15">
        <v>2</v>
      </c>
      <c r="K77" s="15">
        <v>16000</v>
      </c>
      <c r="L77" s="15">
        <v>6</v>
      </c>
      <c r="M77" s="15">
        <v>48000</v>
      </c>
      <c r="N77" s="15">
        <v>3</v>
      </c>
      <c r="O77" s="15">
        <v>24000</v>
      </c>
      <c r="P77" s="15">
        <v>6</v>
      </c>
      <c r="Q77" s="15">
        <v>48000</v>
      </c>
      <c r="R77" s="16"/>
      <c r="S77" s="3"/>
      <c r="T77" s="3"/>
      <c r="U77" s="3"/>
      <c r="V77" s="3"/>
      <c r="W77" s="3"/>
      <c r="X77" s="3"/>
      <c r="Y77" s="3"/>
    </row>
    <row r="78" spans="1:25" ht="16.5" customHeight="1" x14ac:dyDescent="0.25">
      <c r="A78" s="9"/>
      <c r="B78" s="10"/>
      <c r="C78" s="10"/>
      <c r="D78" s="11">
        <v>9.3000000000000007</v>
      </c>
      <c r="E78" s="30" t="s">
        <v>69</v>
      </c>
      <c r="F78" s="18" t="s">
        <v>17</v>
      </c>
      <c r="G78" s="32">
        <f>J78+L78+N78+P78</f>
        <v>17</v>
      </c>
      <c r="H78" s="32"/>
      <c r="I78" s="32">
        <f>K78+M78+O78+Q78</f>
        <v>136000</v>
      </c>
      <c r="J78" s="15">
        <v>2</v>
      </c>
      <c r="K78" s="15">
        <v>16000</v>
      </c>
      <c r="L78" s="15">
        <v>6</v>
      </c>
      <c r="M78" s="15">
        <v>48000</v>
      </c>
      <c r="N78" s="15">
        <v>3</v>
      </c>
      <c r="O78" s="15">
        <v>24000</v>
      </c>
      <c r="P78" s="15">
        <v>6</v>
      </c>
      <c r="Q78" s="15">
        <v>48000</v>
      </c>
      <c r="R78" s="16"/>
      <c r="S78" s="3"/>
      <c r="T78" s="3"/>
      <c r="U78" s="3"/>
      <c r="V78" s="3"/>
      <c r="W78" s="3"/>
      <c r="X78" s="3"/>
      <c r="Y78" s="3"/>
    </row>
    <row r="79" spans="1:25" ht="16.5" customHeight="1" x14ac:dyDescent="0.25">
      <c r="A79" s="9"/>
      <c r="B79" s="10"/>
      <c r="C79" s="10"/>
      <c r="D79" s="11">
        <v>9.4</v>
      </c>
      <c r="E79" s="30" t="s">
        <v>70</v>
      </c>
      <c r="F79" s="18" t="s">
        <v>17</v>
      </c>
      <c r="G79" s="32">
        <f>J79+L79+N79+P79</f>
        <v>11</v>
      </c>
      <c r="H79" s="32"/>
      <c r="I79" s="32">
        <f>K79+M79+O79+Q79</f>
        <v>99000</v>
      </c>
      <c r="J79" s="15">
        <v>2</v>
      </c>
      <c r="K79" s="15">
        <v>18000</v>
      </c>
      <c r="L79" s="15">
        <v>3</v>
      </c>
      <c r="M79" s="15">
        <v>27000</v>
      </c>
      <c r="N79" s="15">
        <v>3</v>
      </c>
      <c r="O79" s="15">
        <v>27000</v>
      </c>
      <c r="P79" s="15">
        <v>3</v>
      </c>
      <c r="Q79" s="15">
        <v>27000</v>
      </c>
      <c r="R79" s="16"/>
      <c r="S79" s="3"/>
      <c r="T79" s="3"/>
      <c r="U79" s="3"/>
      <c r="V79" s="3"/>
      <c r="W79" s="3"/>
      <c r="X79" s="3"/>
      <c r="Y79" s="3"/>
    </row>
    <row r="80" spans="1:25" ht="16.5" customHeight="1" x14ac:dyDescent="0.25">
      <c r="A80" s="9"/>
      <c r="B80" s="10"/>
      <c r="C80" s="10"/>
      <c r="D80" s="11">
        <v>9.5</v>
      </c>
      <c r="E80" s="30" t="s">
        <v>71</v>
      </c>
      <c r="F80" s="18" t="s">
        <v>17</v>
      </c>
      <c r="G80" s="32">
        <f>J80+L80+N80+P80</f>
        <v>3</v>
      </c>
      <c r="H80" s="32"/>
      <c r="I80" s="32">
        <f>K80+M80+O80+Q80</f>
        <v>21000</v>
      </c>
      <c r="J80" s="15">
        <v>2</v>
      </c>
      <c r="K80" s="15">
        <v>14000</v>
      </c>
      <c r="L80" s="15">
        <v>1</v>
      </c>
      <c r="M80" s="15">
        <v>7000</v>
      </c>
      <c r="N80" s="15"/>
      <c r="O80" s="15"/>
      <c r="P80" s="15"/>
      <c r="Q80" s="15"/>
      <c r="R80" s="16"/>
      <c r="S80" s="3"/>
      <c r="T80" s="3"/>
      <c r="U80" s="3"/>
      <c r="V80" s="3"/>
      <c r="W80" s="3"/>
      <c r="X80" s="3"/>
      <c r="Y80" s="3"/>
    </row>
    <row r="81" spans="1:25" ht="16.5" customHeight="1" x14ac:dyDescent="0.25">
      <c r="A81" s="9"/>
      <c r="B81" s="10"/>
      <c r="C81" s="10"/>
      <c r="D81" s="11">
        <v>9.6</v>
      </c>
      <c r="E81" s="30" t="s">
        <v>72</v>
      </c>
      <c r="F81" s="42" t="s">
        <v>17</v>
      </c>
      <c r="G81" s="32">
        <v>2</v>
      </c>
      <c r="H81" s="32"/>
      <c r="I81" s="32">
        <v>38000</v>
      </c>
      <c r="J81" s="15"/>
      <c r="K81" s="15"/>
      <c r="L81" s="32">
        <v>2</v>
      </c>
      <c r="M81" s="32">
        <v>38000</v>
      </c>
      <c r="N81" s="15"/>
      <c r="O81" s="15"/>
      <c r="P81" s="15"/>
      <c r="Q81" s="15"/>
      <c r="R81" s="16"/>
      <c r="S81" s="3"/>
      <c r="T81" s="3"/>
      <c r="U81" s="3"/>
      <c r="V81" s="3"/>
      <c r="W81" s="3"/>
      <c r="X81" s="3"/>
      <c r="Y81" s="3"/>
    </row>
    <row r="82" spans="1:25" ht="16.5" customHeight="1" x14ac:dyDescent="0.25">
      <c r="A82" s="9"/>
      <c r="B82" s="10"/>
      <c r="C82" s="10"/>
      <c r="D82" s="11">
        <v>9.6999999999999993</v>
      </c>
      <c r="E82" s="30" t="s">
        <v>73</v>
      </c>
      <c r="F82" s="42" t="s">
        <v>17</v>
      </c>
      <c r="G82" s="32">
        <f>J82+L82+N82+P82</f>
        <v>175</v>
      </c>
      <c r="H82" s="32"/>
      <c r="I82" s="32">
        <f>K82+M82+O82+Q82</f>
        <v>350000</v>
      </c>
      <c r="J82" s="15">
        <v>40</v>
      </c>
      <c r="K82" s="15">
        <v>80000</v>
      </c>
      <c r="L82" s="15">
        <v>45</v>
      </c>
      <c r="M82" s="15">
        <v>90000</v>
      </c>
      <c r="N82" s="15">
        <v>45</v>
      </c>
      <c r="O82" s="15">
        <v>90000</v>
      </c>
      <c r="P82" s="15">
        <v>45</v>
      </c>
      <c r="Q82" s="15">
        <v>90000</v>
      </c>
      <c r="R82" s="16"/>
      <c r="S82" s="3"/>
      <c r="T82" s="3"/>
      <c r="U82" s="3"/>
      <c r="V82" s="3"/>
      <c r="W82" s="3"/>
      <c r="X82" s="3"/>
      <c r="Y82" s="3"/>
    </row>
    <row r="83" spans="1:25" ht="16.5" customHeight="1" x14ac:dyDescent="0.25">
      <c r="A83" s="9"/>
      <c r="B83" s="10"/>
      <c r="C83" s="10"/>
      <c r="D83" s="11">
        <v>9.8000000000000007</v>
      </c>
      <c r="E83" s="30" t="s">
        <v>74</v>
      </c>
      <c r="F83" s="42" t="s">
        <v>17</v>
      </c>
      <c r="G83" s="32">
        <v>2</v>
      </c>
      <c r="H83" s="32"/>
      <c r="I83" s="32">
        <v>70000</v>
      </c>
      <c r="J83" s="15"/>
      <c r="K83" s="15"/>
      <c r="L83" s="32">
        <v>2</v>
      </c>
      <c r="M83" s="32">
        <v>70000</v>
      </c>
      <c r="N83" s="15"/>
      <c r="O83" s="15"/>
      <c r="P83" s="15"/>
      <c r="Q83" s="15"/>
      <c r="R83" s="16"/>
      <c r="S83" s="3"/>
      <c r="T83" s="3"/>
      <c r="U83" s="3"/>
      <c r="V83" s="3"/>
      <c r="W83" s="3"/>
      <c r="X83" s="3"/>
      <c r="Y83" s="3"/>
    </row>
    <row r="84" spans="1:25" ht="16.5" customHeight="1" x14ac:dyDescent="0.25">
      <c r="A84" s="9"/>
      <c r="B84" s="10"/>
      <c r="C84" s="10"/>
      <c r="D84" s="11"/>
      <c r="E84" s="30"/>
      <c r="F84" s="42"/>
      <c r="G84" s="32"/>
      <c r="H84" s="32"/>
      <c r="I84" s="45">
        <f>SUM(I76:I83)</f>
        <v>932000</v>
      </c>
      <c r="J84" s="15"/>
      <c r="K84" s="45">
        <f>SUM(K76:K83)</f>
        <v>160000</v>
      </c>
      <c r="L84" s="15"/>
      <c r="M84" s="45">
        <f>SUM(M76:M83)</f>
        <v>352000</v>
      </c>
      <c r="N84" s="15"/>
      <c r="O84" s="45">
        <f>SUM(O76:O83)</f>
        <v>189000</v>
      </c>
      <c r="P84" s="15"/>
      <c r="Q84" s="45">
        <f>SUM(Q76:Q83)</f>
        <v>231000</v>
      </c>
      <c r="R84" s="16"/>
      <c r="S84" s="3"/>
      <c r="T84" s="3"/>
      <c r="U84" s="3"/>
      <c r="V84" s="3"/>
      <c r="W84" s="3"/>
      <c r="X84" s="3"/>
      <c r="Y84" s="3"/>
    </row>
    <row r="85" spans="1:25" ht="16.5" customHeight="1" x14ac:dyDescent="0.25">
      <c r="A85" s="9"/>
      <c r="B85" s="10"/>
      <c r="C85" s="10"/>
      <c r="D85" s="11">
        <v>10</v>
      </c>
      <c r="E85" s="12" t="s">
        <v>75</v>
      </c>
      <c r="F85" s="42"/>
      <c r="G85" s="32"/>
      <c r="H85" s="32"/>
      <c r="I85" s="32"/>
      <c r="J85" s="15"/>
      <c r="K85" s="15"/>
      <c r="L85" s="32"/>
      <c r="M85" s="32"/>
      <c r="N85" s="15"/>
      <c r="O85" s="15"/>
      <c r="P85" s="15"/>
      <c r="Q85" s="15"/>
      <c r="R85" s="16"/>
      <c r="S85" s="3"/>
      <c r="T85" s="3"/>
      <c r="U85" s="3"/>
      <c r="V85" s="3"/>
      <c r="W85" s="3"/>
      <c r="X85" s="3"/>
      <c r="Y85" s="3"/>
    </row>
    <row r="86" spans="1:25" ht="16.5" customHeight="1" x14ac:dyDescent="0.25">
      <c r="A86" s="9"/>
      <c r="B86" s="10"/>
      <c r="C86" s="10"/>
      <c r="D86" s="11">
        <v>10.1</v>
      </c>
      <c r="E86" s="30" t="s">
        <v>76</v>
      </c>
      <c r="F86" s="42" t="s">
        <v>17</v>
      </c>
      <c r="G86" s="32">
        <v>2</v>
      </c>
      <c r="H86" s="32"/>
      <c r="I86" s="34">
        <f>1500*2</f>
        <v>3000</v>
      </c>
      <c r="J86" s="15"/>
      <c r="K86" s="15"/>
      <c r="L86" s="32">
        <v>1</v>
      </c>
      <c r="M86" s="34">
        <v>1500</v>
      </c>
      <c r="N86" s="46"/>
      <c r="O86" s="47"/>
      <c r="P86" s="34">
        <v>1</v>
      </c>
      <c r="Q86" s="34">
        <v>1500</v>
      </c>
      <c r="R86" s="16"/>
      <c r="S86" s="3"/>
      <c r="T86" s="3"/>
      <c r="U86" s="3"/>
      <c r="V86" s="3"/>
      <c r="W86" s="3"/>
      <c r="X86" s="3"/>
      <c r="Y86" s="3"/>
    </row>
    <row r="87" spans="1:25" ht="16.5" customHeight="1" x14ac:dyDescent="0.25">
      <c r="A87" s="9"/>
      <c r="B87" s="10"/>
      <c r="C87" s="10"/>
      <c r="D87" s="11">
        <v>10.199999999999999</v>
      </c>
      <c r="E87" s="30" t="s">
        <v>77</v>
      </c>
      <c r="F87" s="42" t="s">
        <v>17</v>
      </c>
      <c r="G87" s="32">
        <v>2</v>
      </c>
      <c r="H87" s="32"/>
      <c r="I87" s="34">
        <f>600*2</f>
        <v>1200</v>
      </c>
      <c r="J87" s="15"/>
      <c r="K87" s="15"/>
      <c r="L87" s="32">
        <v>1</v>
      </c>
      <c r="M87" s="34">
        <v>600</v>
      </c>
      <c r="N87" s="46"/>
      <c r="O87" s="47"/>
      <c r="P87" s="34">
        <v>1</v>
      </c>
      <c r="Q87" s="34">
        <v>600</v>
      </c>
      <c r="R87" s="16"/>
      <c r="S87" s="3"/>
      <c r="T87" s="3"/>
      <c r="U87" s="3"/>
      <c r="V87" s="3"/>
      <c r="W87" s="3"/>
      <c r="X87" s="3"/>
      <c r="Y87" s="3"/>
    </row>
    <row r="88" spans="1:25" ht="16.5" customHeight="1" x14ac:dyDescent="0.25">
      <c r="A88" s="9"/>
      <c r="B88" s="10"/>
      <c r="C88" s="10"/>
      <c r="D88" s="11">
        <v>10.3</v>
      </c>
      <c r="E88" s="30" t="s">
        <v>78</v>
      </c>
      <c r="F88" s="42" t="s">
        <v>17</v>
      </c>
      <c r="G88" s="32">
        <v>2</v>
      </c>
      <c r="H88" s="32"/>
      <c r="I88" s="410">
        <f>960*2</f>
        <v>1920</v>
      </c>
      <c r="J88" s="15"/>
      <c r="K88" s="15"/>
      <c r="L88" s="32">
        <v>1</v>
      </c>
      <c r="M88" s="410">
        <v>960</v>
      </c>
      <c r="N88" s="46"/>
      <c r="O88" s="47"/>
      <c r="P88" s="34">
        <v>1</v>
      </c>
      <c r="Q88" s="410">
        <v>960</v>
      </c>
      <c r="R88" s="16"/>
      <c r="S88" s="3"/>
      <c r="T88" s="3"/>
      <c r="U88" s="3"/>
      <c r="V88" s="3"/>
      <c r="W88" s="3"/>
      <c r="X88" s="3"/>
      <c r="Y88" s="3"/>
    </row>
    <row r="89" spans="1:25" ht="16.5" customHeight="1" x14ac:dyDescent="0.25">
      <c r="A89" s="9"/>
      <c r="B89" s="10"/>
      <c r="C89" s="10"/>
      <c r="D89" s="11">
        <v>10.4</v>
      </c>
      <c r="E89" s="30" t="s">
        <v>79</v>
      </c>
      <c r="F89" s="42" t="s">
        <v>17</v>
      </c>
      <c r="G89" s="32">
        <v>2</v>
      </c>
      <c r="H89" s="32"/>
      <c r="I89" s="411"/>
      <c r="J89" s="15"/>
      <c r="K89" s="15"/>
      <c r="L89" s="32">
        <v>1</v>
      </c>
      <c r="M89" s="411"/>
      <c r="N89" s="46"/>
      <c r="O89" s="47"/>
      <c r="P89" s="34">
        <v>1</v>
      </c>
      <c r="Q89" s="411"/>
      <c r="R89" s="16"/>
      <c r="S89" s="3"/>
      <c r="T89" s="3"/>
      <c r="U89" s="3"/>
      <c r="V89" s="3"/>
      <c r="W89" s="3"/>
      <c r="X89" s="3"/>
      <c r="Y89" s="3"/>
    </row>
    <row r="90" spans="1:25" ht="16.5" customHeight="1" x14ac:dyDescent="0.25">
      <c r="A90" s="9"/>
      <c r="B90" s="10"/>
      <c r="C90" s="10"/>
      <c r="D90" s="11">
        <v>10.5</v>
      </c>
      <c r="E90" s="30" t="s">
        <v>80</v>
      </c>
      <c r="F90" s="42" t="s">
        <v>17</v>
      </c>
      <c r="G90" s="32">
        <v>2</v>
      </c>
      <c r="H90" s="32"/>
      <c r="I90" s="34">
        <f>780*2</f>
        <v>1560</v>
      </c>
      <c r="J90" s="15"/>
      <c r="K90" s="15"/>
      <c r="L90" s="32">
        <v>1</v>
      </c>
      <c r="M90" s="34">
        <v>780</v>
      </c>
      <c r="N90" s="46"/>
      <c r="O90" s="47"/>
      <c r="P90" s="34">
        <v>1</v>
      </c>
      <c r="Q90" s="34">
        <v>780</v>
      </c>
      <c r="R90" s="16"/>
      <c r="S90" s="3"/>
      <c r="T90" s="3"/>
      <c r="U90" s="3"/>
      <c r="V90" s="3"/>
      <c r="W90" s="3"/>
      <c r="X90" s="3"/>
      <c r="Y90" s="3"/>
    </row>
    <row r="91" spans="1:25" ht="16.5" customHeight="1" x14ac:dyDescent="0.25">
      <c r="A91" s="9"/>
      <c r="B91" s="10"/>
      <c r="C91" s="10"/>
      <c r="D91" s="11">
        <v>10.6</v>
      </c>
      <c r="E91" s="30" t="s">
        <v>81</v>
      </c>
      <c r="F91" s="42" t="s">
        <v>17</v>
      </c>
      <c r="G91" s="32">
        <v>2</v>
      </c>
      <c r="H91" s="32"/>
      <c r="I91" s="34">
        <f>5262*2</f>
        <v>10524</v>
      </c>
      <c r="J91" s="15"/>
      <c r="K91" s="15"/>
      <c r="L91" s="32">
        <v>1</v>
      </c>
      <c r="M91" s="34">
        <v>5262</v>
      </c>
      <c r="N91" s="46"/>
      <c r="O91" s="47"/>
      <c r="P91" s="34">
        <v>1</v>
      </c>
      <c r="Q91" s="34">
        <v>5262</v>
      </c>
      <c r="R91" s="16"/>
      <c r="S91" s="3"/>
      <c r="T91" s="3"/>
      <c r="U91" s="3"/>
      <c r="V91" s="3"/>
      <c r="W91" s="3"/>
      <c r="X91" s="3"/>
      <c r="Y91" s="3"/>
    </row>
    <row r="92" spans="1:25" ht="16.5" customHeight="1" x14ac:dyDescent="0.25">
      <c r="A92" s="9"/>
      <c r="B92" s="10"/>
      <c r="C92" s="10"/>
      <c r="D92" s="11">
        <v>10.7</v>
      </c>
      <c r="E92" s="30" t="s">
        <v>82</v>
      </c>
      <c r="F92" s="42" t="s">
        <v>17</v>
      </c>
      <c r="G92" s="32">
        <v>2</v>
      </c>
      <c r="H92" s="32"/>
      <c r="I92" s="34">
        <f>2254*2</f>
        <v>4508</v>
      </c>
      <c r="J92" s="15"/>
      <c r="K92" s="15"/>
      <c r="L92" s="32">
        <v>1</v>
      </c>
      <c r="M92" s="34">
        <v>2254</v>
      </c>
      <c r="N92" s="46"/>
      <c r="O92" s="47"/>
      <c r="P92" s="34">
        <v>1</v>
      </c>
      <c r="Q92" s="34">
        <v>2254</v>
      </c>
      <c r="R92" s="16"/>
      <c r="S92" s="3"/>
      <c r="T92" s="3"/>
      <c r="U92" s="3"/>
      <c r="V92" s="3"/>
      <c r="W92" s="3"/>
      <c r="X92" s="3"/>
      <c r="Y92" s="3"/>
    </row>
    <row r="93" spans="1:25" ht="16.5" customHeight="1" x14ac:dyDescent="0.25">
      <c r="A93" s="9"/>
      <c r="B93" s="10"/>
      <c r="C93" s="10"/>
      <c r="D93" s="11">
        <v>10.8</v>
      </c>
      <c r="E93" s="30" t="s">
        <v>83</v>
      </c>
      <c r="F93" s="42" t="s">
        <v>17</v>
      </c>
      <c r="G93" s="32">
        <v>2</v>
      </c>
      <c r="H93" s="32"/>
      <c r="I93" s="34">
        <f>912*2</f>
        <v>1824</v>
      </c>
      <c r="J93" s="15"/>
      <c r="K93" s="15"/>
      <c r="L93" s="32">
        <v>1</v>
      </c>
      <c r="M93" s="34">
        <v>912</v>
      </c>
      <c r="N93" s="46"/>
      <c r="O93" s="47"/>
      <c r="P93" s="34">
        <v>1</v>
      </c>
      <c r="Q93" s="34">
        <v>912</v>
      </c>
      <c r="R93" s="16"/>
      <c r="S93" s="3"/>
      <c r="T93" s="3"/>
      <c r="U93" s="3"/>
      <c r="V93" s="3"/>
      <c r="W93" s="3"/>
      <c r="X93" s="3"/>
      <c r="Y93" s="3"/>
    </row>
    <row r="94" spans="1:25" ht="16.5" customHeight="1" x14ac:dyDescent="0.25">
      <c r="A94" s="9"/>
      <c r="B94" s="10"/>
      <c r="C94" s="10"/>
      <c r="D94" s="11">
        <v>10.9</v>
      </c>
      <c r="E94" s="30" t="s">
        <v>84</v>
      </c>
      <c r="F94" s="42" t="s">
        <v>17</v>
      </c>
      <c r="G94" s="32">
        <v>2</v>
      </c>
      <c r="H94" s="32"/>
      <c r="I94" s="34">
        <f>3756*2</f>
        <v>7512</v>
      </c>
      <c r="J94" s="15"/>
      <c r="K94" s="15"/>
      <c r="L94" s="32">
        <v>1</v>
      </c>
      <c r="M94" s="34">
        <v>3756</v>
      </c>
      <c r="N94" s="46"/>
      <c r="O94" s="47"/>
      <c r="P94" s="34">
        <v>1</v>
      </c>
      <c r="Q94" s="34">
        <v>3756</v>
      </c>
      <c r="R94" s="16"/>
      <c r="S94" s="3"/>
      <c r="T94" s="3"/>
      <c r="U94" s="3"/>
      <c r="V94" s="3"/>
      <c r="W94" s="3"/>
      <c r="X94" s="3"/>
      <c r="Y94" s="3"/>
    </row>
    <row r="95" spans="1:25" ht="16.5" customHeight="1" x14ac:dyDescent="0.25">
      <c r="A95" s="9"/>
      <c r="B95" s="10"/>
      <c r="C95" s="10"/>
      <c r="D95" s="11">
        <v>10.1</v>
      </c>
      <c r="E95" s="30" t="s">
        <v>85</v>
      </c>
      <c r="F95" s="42" t="s">
        <v>17</v>
      </c>
      <c r="G95" s="32">
        <v>2</v>
      </c>
      <c r="H95" s="32"/>
      <c r="I95" s="34">
        <f>542*2</f>
        <v>1084</v>
      </c>
      <c r="J95" s="15"/>
      <c r="K95" s="15"/>
      <c r="L95" s="32">
        <v>1</v>
      </c>
      <c r="M95" s="34">
        <v>542</v>
      </c>
      <c r="N95" s="46"/>
      <c r="O95" s="47"/>
      <c r="P95" s="34">
        <v>1</v>
      </c>
      <c r="Q95" s="34">
        <v>542</v>
      </c>
      <c r="R95" s="16"/>
      <c r="S95" s="3"/>
      <c r="T95" s="3"/>
      <c r="U95" s="3"/>
      <c r="V95" s="3"/>
      <c r="W95" s="3"/>
      <c r="X95" s="3"/>
      <c r="Y95" s="3"/>
    </row>
    <row r="96" spans="1:25" ht="16.5" customHeight="1" x14ac:dyDescent="0.25">
      <c r="A96" s="9"/>
      <c r="B96" s="10"/>
      <c r="C96" s="10"/>
      <c r="D96" s="11">
        <v>10.11</v>
      </c>
      <c r="E96" s="30" t="s">
        <v>86</v>
      </c>
      <c r="F96" s="42" t="s">
        <v>17</v>
      </c>
      <c r="G96" s="32">
        <v>2</v>
      </c>
      <c r="H96" s="32"/>
      <c r="I96" s="34">
        <f>1464*2</f>
        <v>2928</v>
      </c>
      <c r="J96" s="15"/>
      <c r="K96" s="15"/>
      <c r="L96" s="32">
        <v>1</v>
      </c>
      <c r="M96" s="34">
        <v>1464</v>
      </c>
      <c r="N96" s="46"/>
      <c r="O96" s="47"/>
      <c r="P96" s="34">
        <v>1</v>
      </c>
      <c r="Q96" s="34">
        <v>1464</v>
      </c>
      <c r="R96" s="16"/>
      <c r="S96" s="3"/>
      <c r="T96" s="3"/>
      <c r="U96" s="3"/>
      <c r="V96" s="3"/>
      <c r="W96" s="3"/>
      <c r="X96" s="3"/>
      <c r="Y96" s="3"/>
    </row>
    <row r="97" spans="1:25" ht="16.5" customHeight="1" x14ac:dyDescent="0.25">
      <c r="A97" s="9"/>
      <c r="B97" s="10"/>
      <c r="C97" s="10"/>
      <c r="D97" s="11">
        <v>10.119999999999999</v>
      </c>
      <c r="E97" s="30" t="s">
        <v>87</v>
      </c>
      <c r="F97" s="42" t="s">
        <v>17</v>
      </c>
      <c r="G97" s="32">
        <v>1</v>
      </c>
      <c r="H97" s="32"/>
      <c r="I97" s="34">
        <v>15840</v>
      </c>
      <c r="J97" s="15"/>
      <c r="K97" s="15"/>
      <c r="L97" s="32"/>
      <c r="M97" s="34"/>
      <c r="N97" s="46">
        <v>1</v>
      </c>
      <c r="O97" s="47">
        <v>15840</v>
      </c>
      <c r="P97" s="34"/>
      <c r="Q97" s="34"/>
      <c r="R97" s="16"/>
      <c r="S97" s="3"/>
      <c r="T97" s="3"/>
      <c r="U97" s="3"/>
      <c r="V97" s="3"/>
      <c r="W97" s="3"/>
      <c r="X97" s="3"/>
      <c r="Y97" s="3"/>
    </row>
    <row r="98" spans="1:25" ht="16.5" customHeight="1" x14ac:dyDescent="0.25">
      <c r="A98" s="9"/>
      <c r="B98" s="10"/>
      <c r="C98" s="10"/>
      <c r="D98" s="11">
        <v>10.130000000000001</v>
      </c>
      <c r="E98" s="30" t="s">
        <v>88</v>
      </c>
      <c r="F98" s="42" t="s">
        <v>17</v>
      </c>
      <c r="G98" s="32">
        <v>1</v>
      </c>
      <c r="H98" s="32"/>
      <c r="I98" s="32">
        <v>4200</v>
      </c>
      <c r="J98" s="15"/>
      <c r="K98" s="15"/>
      <c r="L98" s="32"/>
      <c r="M98" s="15"/>
      <c r="N98" s="19">
        <v>1</v>
      </c>
      <c r="O98" s="15">
        <v>4200</v>
      </c>
      <c r="P98" s="32"/>
      <c r="Q98" s="32"/>
      <c r="R98" s="32">
        <v>3600</v>
      </c>
      <c r="S98" s="3"/>
      <c r="T98" s="3"/>
      <c r="U98" s="3"/>
      <c r="V98" s="3"/>
      <c r="W98" s="3"/>
      <c r="X98" s="3"/>
      <c r="Y98" s="3"/>
    </row>
    <row r="99" spans="1:25" ht="16.5" customHeight="1" x14ac:dyDescent="0.25">
      <c r="A99" s="9"/>
      <c r="B99" s="10"/>
      <c r="C99" s="10"/>
      <c r="D99" s="11">
        <v>10.14</v>
      </c>
      <c r="E99" s="30" t="s">
        <v>89</v>
      </c>
      <c r="F99" s="42" t="s">
        <v>17</v>
      </c>
      <c r="G99" s="32">
        <v>3</v>
      </c>
      <c r="H99" s="32"/>
      <c r="I99" s="32">
        <v>21420</v>
      </c>
      <c r="J99" s="15"/>
      <c r="K99" s="15"/>
      <c r="L99" s="32"/>
      <c r="M99" s="32"/>
      <c r="N99" s="15"/>
      <c r="O99" s="15"/>
      <c r="P99" s="32">
        <v>3</v>
      </c>
      <c r="Q99" s="32">
        <v>21420</v>
      </c>
      <c r="R99" s="32">
        <v>21420</v>
      </c>
      <c r="S99" s="3"/>
      <c r="T99" s="3"/>
      <c r="U99" s="3"/>
      <c r="V99" s="3"/>
      <c r="W99" s="3"/>
      <c r="X99" s="3"/>
      <c r="Y99" s="3"/>
    </row>
    <row r="100" spans="1:25" ht="16.5" customHeight="1" x14ac:dyDescent="0.25">
      <c r="A100" s="9"/>
      <c r="B100" s="10"/>
      <c r="C100" s="10"/>
      <c r="D100" s="11">
        <v>10.15</v>
      </c>
      <c r="E100" s="30" t="s">
        <v>90</v>
      </c>
      <c r="F100" s="42" t="s">
        <v>17</v>
      </c>
      <c r="G100" s="32">
        <v>3</v>
      </c>
      <c r="H100" s="32"/>
      <c r="I100" s="32">
        <v>10800</v>
      </c>
      <c r="J100" s="15"/>
      <c r="K100" s="15"/>
      <c r="L100" s="32"/>
      <c r="M100" s="32"/>
      <c r="N100" s="15"/>
      <c r="O100" s="15"/>
      <c r="P100" s="32">
        <v>3</v>
      </c>
      <c r="Q100" s="32">
        <v>10800</v>
      </c>
      <c r="R100" s="32">
        <v>10800</v>
      </c>
      <c r="S100" s="3"/>
      <c r="T100" s="3"/>
      <c r="U100" s="3"/>
      <c r="V100" s="3"/>
      <c r="W100" s="3"/>
      <c r="X100" s="3"/>
      <c r="Y100" s="3"/>
    </row>
    <row r="101" spans="1:25" ht="16.5" customHeight="1" x14ac:dyDescent="0.25">
      <c r="A101" s="9"/>
      <c r="B101" s="10"/>
      <c r="C101" s="10"/>
      <c r="D101" s="11">
        <v>10.16</v>
      </c>
      <c r="E101" s="30" t="s">
        <v>91</v>
      </c>
      <c r="F101" s="42" t="s">
        <v>17</v>
      </c>
      <c r="G101" s="32">
        <v>1</v>
      </c>
      <c r="H101" s="32"/>
      <c r="I101" s="407">
        <v>53098.5</v>
      </c>
      <c r="J101" s="15"/>
      <c r="K101" s="15"/>
      <c r="L101" s="32"/>
      <c r="M101" s="32"/>
      <c r="N101" s="15"/>
      <c r="O101" s="15"/>
      <c r="P101" s="32">
        <v>1</v>
      </c>
      <c r="Q101" s="407">
        <v>53098.5</v>
      </c>
      <c r="R101" s="407">
        <v>53098.5</v>
      </c>
      <c r="S101" s="3"/>
      <c r="T101" s="3"/>
      <c r="U101" s="3"/>
      <c r="V101" s="3"/>
      <c r="W101" s="3"/>
      <c r="X101" s="3"/>
      <c r="Y101" s="3"/>
    </row>
    <row r="102" spans="1:25" ht="16.5" customHeight="1" x14ac:dyDescent="0.25">
      <c r="A102" s="9"/>
      <c r="B102" s="10"/>
      <c r="C102" s="10"/>
      <c r="D102" s="11">
        <v>10.17</v>
      </c>
      <c r="E102" s="30" t="s">
        <v>92</v>
      </c>
      <c r="F102" s="42" t="s">
        <v>17</v>
      </c>
      <c r="G102" s="32">
        <v>1</v>
      </c>
      <c r="H102" s="32"/>
      <c r="I102" s="408"/>
      <c r="J102" s="15"/>
      <c r="K102" s="15"/>
      <c r="L102" s="32"/>
      <c r="M102" s="32"/>
      <c r="N102" s="15"/>
      <c r="O102" s="15"/>
      <c r="P102" s="32">
        <v>1</v>
      </c>
      <c r="Q102" s="408"/>
      <c r="R102" s="408"/>
      <c r="S102" s="3"/>
      <c r="T102" s="3"/>
      <c r="U102" s="3"/>
      <c r="V102" s="3"/>
      <c r="W102" s="3"/>
      <c r="X102" s="3"/>
      <c r="Y102" s="3"/>
    </row>
    <row r="103" spans="1:25" ht="16.5" customHeight="1" x14ac:dyDescent="0.25">
      <c r="A103" s="9"/>
      <c r="B103" s="10"/>
      <c r="C103" s="10"/>
      <c r="D103" s="11">
        <v>10.18</v>
      </c>
      <c r="E103" s="30" t="s">
        <v>93</v>
      </c>
      <c r="F103" s="42" t="s">
        <v>17</v>
      </c>
      <c r="G103" s="32">
        <v>1</v>
      </c>
      <c r="H103" s="32"/>
      <c r="I103" s="408"/>
      <c r="J103" s="15"/>
      <c r="K103" s="15"/>
      <c r="L103" s="32"/>
      <c r="M103" s="32"/>
      <c r="N103" s="15"/>
      <c r="O103" s="15"/>
      <c r="P103" s="32">
        <v>1</v>
      </c>
      <c r="Q103" s="408"/>
      <c r="R103" s="408"/>
      <c r="S103" s="3"/>
      <c r="T103" s="3"/>
      <c r="U103" s="3"/>
      <c r="V103" s="3"/>
      <c r="W103" s="3"/>
      <c r="X103" s="3"/>
      <c r="Y103" s="3"/>
    </row>
    <row r="104" spans="1:25" ht="16.5" customHeight="1" x14ac:dyDescent="0.25">
      <c r="A104" s="9"/>
      <c r="B104" s="10"/>
      <c r="C104" s="10"/>
      <c r="D104" s="11">
        <v>10.19</v>
      </c>
      <c r="E104" s="30" t="s">
        <v>94</v>
      </c>
      <c r="F104" s="42" t="s">
        <v>17</v>
      </c>
      <c r="G104" s="32">
        <v>1</v>
      </c>
      <c r="H104" s="32"/>
      <c r="I104" s="408"/>
      <c r="J104" s="15"/>
      <c r="K104" s="15"/>
      <c r="L104" s="32"/>
      <c r="M104" s="32"/>
      <c r="N104" s="15"/>
      <c r="O104" s="15"/>
      <c r="P104" s="32">
        <v>1</v>
      </c>
      <c r="Q104" s="408"/>
      <c r="R104" s="408"/>
      <c r="S104" s="3"/>
      <c r="T104" s="3"/>
      <c r="U104" s="3"/>
      <c r="V104" s="3"/>
      <c r="W104" s="3"/>
      <c r="X104" s="3"/>
      <c r="Y104" s="3"/>
    </row>
    <row r="105" spans="1:25" ht="16.5" customHeight="1" x14ac:dyDescent="0.25">
      <c r="A105" s="9"/>
      <c r="B105" s="10"/>
      <c r="C105" s="10"/>
      <c r="D105" s="11">
        <v>10.199999999999999</v>
      </c>
      <c r="E105" s="30" t="s">
        <v>95</v>
      </c>
      <c r="F105" s="42" t="s">
        <v>17</v>
      </c>
      <c r="G105" s="32">
        <v>1</v>
      </c>
      <c r="H105" s="32"/>
      <c r="I105" s="408"/>
      <c r="J105" s="15"/>
      <c r="K105" s="15"/>
      <c r="L105" s="32"/>
      <c r="M105" s="32"/>
      <c r="N105" s="15"/>
      <c r="O105" s="15"/>
      <c r="P105" s="32">
        <v>1</v>
      </c>
      <c r="Q105" s="408"/>
      <c r="R105" s="408"/>
      <c r="S105" s="3"/>
      <c r="T105" s="3"/>
      <c r="U105" s="3"/>
      <c r="V105" s="3"/>
      <c r="W105" s="3"/>
      <c r="X105" s="3"/>
      <c r="Y105" s="3"/>
    </row>
    <row r="106" spans="1:25" ht="16.5" customHeight="1" x14ac:dyDescent="0.25">
      <c r="A106" s="9"/>
      <c r="B106" s="10"/>
      <c r="C106" s="10"/>
      <c r="D106" s="11">
        <v>10.210000000000001</v>
      </c>
      <c r="E106" s="30" t="s">
        <v>96</v>
      </c>
      <c r="F106" s="42" t="s">
        <v>17</v>
      </c>
      <c r="G106" s="32">
        <v>1</v>
      </c>
      <c r="H106" s="32"/>
      <c r="I106" s="409"/>
      <c r="J106" s="15"/>
      <c r="K106" s="15"/>
      <c r="L106" s="32"/>
      <c r="M106" s="32"/>
      <c r="N106" s="15"/>
      <c r="O106" s="15"/>
      <c r="P106" s="32">
        <v>1</v>
      </c>
      <c r="Q106" s="409"/>
      <c r="R106" s="409"/>
      <c r="S106" s="3"/>
      <c r="T106" s="3"/>
      <c r="U106" s="3"/>
      <c r="V106" s="3"/>
      <c r="W106" s="3"/>
      <c r="X106" s="3"/>
      <c r="Y106" s="3"/>
    </row>
    <row r="107" spans="1:25" ht="16.5" customHeight="1" x14ac:dyDescent="0.25">
      <c r="A107" s="9"/>
      <c r="B107" s="10"/>
      <c r="C107" s="10"/>
      <c r="D107" s="11"/>
      <c r="E107" s="30"/>
      <c r="F107" s="42"/>
      <c r="G107" s="32"/>
      <c r="H107" s="32"/>
      <c r="I107" s="23">
        <f>SUM(I86:I106)</f>
        <v>141418.5</v>
      </c>
      <c r="J107" s="15"/>
      <c r="K107" s="15"/>
      <c r="L107" s="32"/>
      <c r="M107" s="23">
        <f>SUM(M86:M106)</f>
        <v>18030</v>
      </c>
      <c r="N107" s="15"/>
      <c r="O107" s="21">
        <f>SUM(O97:O106)</f>
        <v>20040</v>
      </c>
      <c r="P107" s="15"/>
      <c r="Q107" s="23">
        <f>SUM(Q86:Q106)</f>
        <v>103348.5</v>
      </c>
      <c r="R107" s="16"/>
      <c r="S107" s="3"/>
      <c r="T107" s="3"/>
      <c r="U107" s="3"/>
      <c r="V107" s="3"/>
      <c r="W107" s="3"/>
      <c r="X107" s="3"/>
      <c r="Y107" s="3"/>
    </row>
    <row r="108" spans="1:25" ht="15.75" customHeight="1" x14ac:dyDescent="0.25">
      <c r="A108" s="9"/>
      <c r="B108" s="10"/>
      <c r="C108" s="10"/>
      <c r="D108" s="11">
        <v>11</v>
      </c>
      <c r="E108" s="12" t="s">
        <v>344</v>
      </c>
      <c r="F108" s="22"/>
      <c r="G108" s="23"/>
      <c r="H108" s="23"/>
      <c r="I108" s="23"/>
      <c r="J108" s="15"/>
      <c r="K108" s="15"/>
      <c r="L108" s="15"/>
      <c r="M108" s="15"/>
      <c r="N108" s="15"/>
      <c r="O108" s="15"/>
      <c r="P108" s="15"/>
      <c r="Q108" s="15"/>
      <c r="R108" s="16"/>
      <c r="S108" s="3"/>
      <c r="T108" s="3"/>
      <c r="U108" s="3"/>
      <c r="V108" s="3"/>
      <c r="W108" s="3"/>
      <c r="X108" s="3"/>
      <c r="Y108" s="3"/>
    </row>
    <row r="109" spans="1:25" ht="15.75" customHeight="1" x14ac:dyDescent="0.25">
      <c r="A109" s="9"/>
      <c r="B109" s="10"/>
      <c r="C109" s="10"/>
      <c r="D109" s="11">
        <v>11.1</v>
      </c>
      <c r="E109" s="30" t="s">
        <v>97</v>
      </c>
      <c r="F109" s="42" t="s">
        <v>22</v>
      </c>
      <c r="G109" s="32">
        <v>12</v>
      </c>
      <c r="H109" s="32"/>
      <c r="I109" s="24">
        <v>370800</v>
      </c>
      <c r="J109" s="15">
        <v>12</v>
      </c>
      <c r="K109" s="15">
        <v>170800</v>
      </c>
      <c r="L109" s="15"/>
      <c r="M109" s="15"/>
      <c r="N109" s="15"/>
      <c r="O109" s="15"/>
      <c r="P109" s="15">
        <v>12</v>
      </c>
      <c r="Q109" s="15">
        <v>200000</v>
      </c>
      <c r="R109" s="16"/>
      <c r="S109" s="3"/>
      <c r="T109" s="3"/>
      <c r="U109" s="3"/>
      <c r="V109" s="3"/>
      <c r="W109" s="3"/>
      <c r="X109" s="3"/>
      <c r="Y109" s="3"/>
    </row>
    <row r="110" spans="1:25" ht="15.75" customHeight="1" x14ac:dyDescent="0.25">
      <c r="A110" s="9"/>
      <c r="B110" s="10"/>
      <c r="C110" s="10"/>
      <c r="D110" s="11">
        <v>11.2</v>
      </c>
      <c r="E110" s="30" t="s">
        <v>98</v>
      </c>
      <c r="F110" s="42" t="s">
        <v>22</v>
      </c>
      <c r="G110" s="32">
        <v>12</v>
      </c>
      <c r="H110" s="32"/>
      <c r="I110" s="32">
        <f>'[4]свод с управлением'!$I$56</f>
        <v>1756580.82706</v>
      </c>
      <c r="J110" s="15">
        <v>12</v>
      </c>
      <c r="K110" s="15">
        <v>1756581</v>
      </c>
      <c r="L110" s="15"/>
      <c r="M110" s="15"/>
      <c r="N110" s="15"/>
      <c r="O110" s="15"/>
      <c r="P110" s="15"/>
      <c r="Q110" s="15"/>
      <c r="R110" s="16"/>
      <c r="S110" s="3"/>
      <c r="T110" s="3"/>
      <c r="U110" s="3"/>
      <c r="V110" s="3"/>
      <c r="W110" s="3"/>
      <c r="X110" s="3"/>
      <c r="Y110" s="3"/>
    </row>
    <row r="111" spans="1:25" x14ac:dyDescent="0.25">
      <c r="A111" s="9"/>
      <c r="B111" s="10"/>
      <c r="C111" s="10"/>
      <c r="D111" s="11">
        <v>11.3</v>
      </c>
      <c r="E111" s="30" t="s">
        <v>99</v>
      </c>
      <c r="F111" s="42" t="s">
        <v>22</v>
      </c>
      <c r="G111" s="32">
        <v>12</v>
      </c>
      <c r="H111" s="32"/>
      <c r="I111" s="32">
        <f>K111+Q111</f>
        <v>1502531</v>
      </c>
      <c r="J111" s="15">
        <v>12</v>
      </c>
      <c r="K111" s="15">
        <v>702531</v>
      </c>
      <c r="L111" s="15"/>
      <c r="M111" s="15"/>
      <c r="N111" s="15"/>
      <c r="O111" s="15"/>
      <c r="P111" s="15">
        <v>12</v>
      </c>
      <c r="Q111" s="15">
        <v>800000</v>
      </c>
      <c r="R111" s="16"/>
      <c r="S111" s="3"/>
      <c r="T111" s="3"/>
      <c r="U111" s="3"/>
      <c r="V111" s="3"/>
      <c r="W111" s="3"/>
      <c r="X111" s="3"/>
      <c r="Y111" s="3"/>
    </row>
    <row r="112" spans="1:25" ht="15.75" customHeight="1" x14ac:dyDescent="0.25">
      <c r="A112" s="9"/>
      <c r="B112" s="10"/>
      <c r="C112" s="10"/>
      <c r="D112" s="11">
        <v>11.4</v>
      </c>
      <c r="E112" s="30" t="s">
        <v>100</v>
      </c>
      <c r="F112" s="42" t="s">
        <v>17</v>
      </c>
      <c r="G112" s="32">
        <v>17</v>
      </c>
      <c r="H112" s="32"/>
      <c r="I112" s="32">
        <v>50150</v>
      </c>
      <c r="J112" s="32">
        <v>15</v>
      </c>
      <c r="K112" s="32">
        <v>50150</v>
      </c>
      <c r="L112" s="15"/>
      <c r="M112" s="15"/>
      <c r="N112" s="15"/>
      <c r="O112" s="15"/>
      <c r="P112" s="15"/>
      <c r="Q112" s="15"/>
      <c r="R112" s="16"/>
      <c r="S112" s="3"/>
      <c r="T112" s="3"/>
      <c r="U112" s="3"/>
      <c r="V112" s="3"/>
      <c r="W112" s="3"/>
      <c r="X112" s="3"/>
      <c r="Y112" s="3"/>
    </row>
    <row r="113" spans="1:25" ht="15.75" customHeight="1" x14ac:dyDescent="0.25">
      <c r="A113" s="9"/>
      <c r="B113" s="10"/>
      <c r="C113" s="10"/>
      <c r="D113" s="11">
        <v>11.5</v>
      </c>
      <c r="E113" s="30" t="s">
        <v>356</v>
      </c>
      <c r="F113" s="42"/>
      <c r="G113" s="32"/>
      <c r="H113" s="32"/>
      <c r="I113" s="32">
        <v>80000</v>
      </c>
      <c r="J113" s="32"/>
      <c r="K113" s="32">
        <v>20000</v>
      </c>
      <c r="L113" s="15"/>
      <c r="M113" s="15">
        <v>20000</v>
      </c>
      <c r="N113" s="15"/>
      <c r="O113" s="15">
        <v>20000</v>
      </c>
      <c r="P113" s="15"/>
      <c r="Q113" s="15">
        <v>20000</v>
      </c>
      <c r="R113" s="16"/>
      <c r="S113" s="3"/>
      <c r="T113" s="3"/>
      <c r="U113" s="3"/>
      <c r="V113" s="3"/>
      <c r="W113" s="3"/>
      <c r="X113" s="3"/>
      <c r="Y113" s="3"/>
    </row>
    <row r="114" spans="1:25" ht="15.75" customHeight="1" x14ac:dyDescent="0.25">
      <c r="A114" s="9"/>
      <c r="B114" s="10"/>
      <c r="C114" s="10"/>
      <c r="D114" s="11"/>
      <c r="E114" s="30"/>
      <c r="F114" s="42"/>
      <c r="G114" s="32"/>
      <c r="H114" s="32"/>
      <c r="I114" s="23">
        <f>SUM(I109:I113)</f>
        <v>3760061.82706</v>
      </c>
      <c r="J114" s="32"/>
      <c r="K114" s="23">
        <f>SUM(K109:K113)</f>
        <v>2700062</v>
      </c>
      <c r="L114" s="15"/>
      <c r="M114" s="23">
        <f>SUM(M113)</f>
        <v>20000</v>
      </c>
      <c r="N114" s="15"/>
      <c r="O114" s="23">
        <f>SUM(O113)</f>
        <v>20000</v>
      </c>
      <c r="P114" s="15"/>
      <c r="Q114" s="23">
        <f>SUM(Q109:Q113)</f>
        <v>1020000</v>
      </c>
      <c r="R114" s="16"/>
      <c r="S114" s="84"/>
      <c r="T114" s="3"/>
      <c r="U114" s="3"/>
      <c r="V114" s="3"/>
      <c r="W114" s="3"/>
      <c r="X114" s="3"/>
      <c r="Y114" s="3"/>
    </row>
    <row r="115" spans="1:25" ht="15.75" customHeight="1" x14ac:dyDescent="0.25">
      <c r="A115" s="9"/>
      <c r="B115" s="10"/>
      <c r="C115" s="10"/>
      <c r="D115" s="11">
        <v>12</v>
      </c>
      <c r="E115" s="38" t="s">
        <v>101</v>
      </c>
      <c r="F115" s="42"/>
      <c r="G115" s="32"/>
      <c r="H115" s="32"/>
      <c r="I115" s="32"/>
      <c r="J115" s="15"/>
      <c r="K115" s="15"/>
      <c r="L115" s="15"/>
      <c r="M115" s="15"/>
      <c r="N115" s="15"/>
      <c r="O115" s="15"/>
      <c r="P115" s="15"/>
      <c r="Q115" s="15"/>
      <c r="R115" s="16"/>
      <c r="S115" s="3"/>
      <c r="T115" s="3"/>
      <c r="U115" s="3"/>
      <c r="V115" s="3"/>
      <c r="W115" s="3"/>
      <c r="X115" s="3"/>
      <c r="Y115" s="3"/>
    </row>
    <row r="116" spans="1:25" ht="15.75" customHeight="1" x14ac:dyDescent="0.25">
      <c r="A116" s="9"/>
      <c r="B116" s="10"/>
      <c r="C116" s="10"/>
      <c r="D116" s="11">
        <v>12.1</v>
      </c>
      <c r="E116" s="30" t="s">
        <v>102</v>
      </c>
      <c r="F116" s="42" t="s">
        <v>103</v>
      </c>
      <c r="G116" s="32">
        <v>29</v>
      </c>
      <c r="H116" s="32"/>
      <c r="I116" s="32">
        <v>507500</v>
      </c>
      <c r="J116" s="15">
        <v>29</v>
      </c>
      <c r="K116" s="15">
        <v>507500</v>
      </c>
      <c r="L116" s="15"/>
      <c r="M116" s="15"/>
      <c r="N116" s="15"/>
      <c r="O116" s="15"/>
      <c r="P116" s="15"/>
      <c r="Q116" s="15"/>
      <c r="R116" s="16"/>
      <c r="S116" s="3"/>
      <c r="T116" s="3"/>
      <c r="U116" s="3"/>
      <c r="V116" s="3"/>
      <c r="W116" s="3"/>
      <c r="X116" s="3"/>
      <c r="Y116" s="3"/>
    </row>
    <row r="117" spans="1:25" ht="15.75" customHeight="1" x14ac:dyDescent="0.25">
      <c r="A117" s="9"/>
      <c r="B117" s="10"/>
      <c r="C117" s="10"/>
      <c r="D117" s="11">
        <v>12.2</v>
      </c>
      <c r="E117" s="30" t="s">
        <v>104</v>
      </c>
      <c r="F117" s="42" t="s">
        <v>103</v>
      </c>
      <c r="G117" s="32">
        <v>4</v>
      </c>
      <c r="H117" s="32"/>
      <c r="I117" s="32">
        <f>G117*10000</f>
        <v>40000</v>
      </c>
      <c r="J117" s="15"/>
      <c r="K117" s="15"/>
      <c r="L117" s="15"/>
      <c r="M117" s="15"/>
      <c r="N117" s="15"/>
      <c r="O117" s="15"/>
      <c r="P117" s="15">
        <v>3</v>
      </c>
      <c r="Q117" s="15">
        <v>40000</v>
      </c>
      <c r="R117" s="16"/>
      <c r="S117" s="3"/>
      <c r="T117" s="3"/>
      <c r="U117" s="3"/>
      <c r="V117" s="3"/>
      <c r="W117" s="3"/>
      <c r="X117" s="3"/>
      <c r="Y117" s="3"/>
    </row>
    <row r="118" spans="1:25" ht="15.75" customHeight="1" x14ac:dyDescent="0.25">
      <c r="A118" s="9"/>
      <c r="B118" s="10"/>
      <c r="C118" s="10"/>
      <c r="D118" s="11">
        <v>12.3</v>
      </c>
      <c r="E118" s="30" t="s">
        <v>105</v>
      </c>
      <c r="F118" s="42" t="s">
        <v>103</v>
      </c>
      <c r="G118" s="32">
        <v>39</v>
      </c>
      <c r="H118" s="32"/>
      <c r="I118" s="32">
        <f>G118*30000</f>
        <v>1170000</v>
      </c>
      <c r="J118" s="15"/>
      <c r="K118" s="15"/>
      <c r="L118" s="15"/>
      <c r="M118" s="15"/>
      <c r="N118" s="15">
        <v>39</v>
      </c>
      <c r="O118" s="15">
        <f>1170000</f>
        <v>1170000</v>
      </c>
      <c r="P118" s="15"/>
      <c r="Q118" s="15"/>
      <c r="R118" s="16"/>
      <c r="S118" s="3"/>
      <c r="T118" s="3"/>
      <c r="U118" s="3"/>
      <c r="V118" s="3"/>
      <c r="W118" s="3"/>
      <c r="X118" s="3"/>
      <c r="Y118" s="3"/>
    </row>
    <row r="119" spans="1:25" ht="15.75" customHeight="1" x14ac:dyDescent="0.25">
      <c r="A119" s="9"/>
      <c r="B119" s="10"/>
      <c r="C119" s="10"/>
      <c r="D119" s="11">
        <v>12.4</v>
      </c>
      <c r="E119" s="30" t="s">
        <v>106</v>
      </c>
      <c r="F119" s="42" t="s">
        <v>103</v>
      </c>
      <c r="G119" s="32">
        <v>3</v>
      </c>
      <c r="H119" s="32"/>
      <c r="I119" s="32">
        <v>132700</v>
      </c>
      <c r="J119" s="15"/>
      <c r="K119" s="15"/>
      <c r="L119" s="15"/>
      <c r="M119" s="15"/>
      <c r="N119" s="15">
        <v>3</v>
      </c>
      <c r="O119" s="15">
        <v>132700</v>
      </c>
      <c r="P119" s="15"/>
      <c r="Q119" s="15"/>
      <c r="R119" s="16"/>
      <c r="S119" s="3"/>
      <c r="T119" s="3"/>
      <c r="U119" s="3"/>
      <c r="V119" s="3"/>
      <c r="W119" s="3"/>
      <c r="X119" s="3"/>
      <c r="Y119" s="3"/>
    </row>
    <row r="120" spans="1:25" ht="15.75" customHeight="1" x14ac:dyDescent="0.25">
      <c r="A120" s="9"/>
      <c r="B120" s="10"/>
      <c r="C120" s="10"/>
      <c r="D120" s="11">
        <v>12.5</v>
      </c>
      <c r="E120" s="30" t="s">
        <v>107</v>
      </c>
      <c r="F120" s="42" t="s">
        <v>103</v>
      </c>
      <c r="G120" s="32">
        <v>4</v>
      </c>
      <c r="H120" s="32"/>
      <c r="I120" s="32">
        <v>112000</v>
      </c>
      <c r="J120" s="15">
        <v>1</v>
      </c>
      <c r="K120" s="15">
        <v>12000</v>
      </c>
      <c r="L120" s="15"/>
      <c r="M120" s="15"/>
      <c r="N120" s="15"/>
      <c r="O120" s="15"/>
      <c r="P120" s="15">
        <v>3</v>
      </c>
      <c r="Q120" s="15">
        <v>100000</v>
      </c>
      <c r="R120" s="16"/>
      <c r="S120" s="3"/>
      <c r="T120" s="3"/>
      <c r="U120" s="3"/>
      <c r="V120" s="3"/>
      <c r="W120" s="3"/>
      <c r="X120" s="3"/>
      <c r="Y120" s="3"/>
    </row>
    <row r="121" spans="1:25" ht="15.75" customHeight="1" x14ac:dyDescent="0.25">
      <c r="A121" s="9"/>
      <c r="B121" s="10"/>
      <c r="C121" s="10"/>
      <c r="D121" s="11">
        <v>12.6</v>
      </c>
      <c r="E121" s="30" t="s">
        <v>108</v>
      </c>
      <c r="F121" s="42" t="s">
        <v>103</v>
      </c>
      <c r="G121" s="32">
        <v>8</v>
      </c>
      <c r="H121" s="32"/>
      <c r="I121" s="32">
        <f>O121+Q121</f>
        <v>256449</v>
      </c>
      <c r="J121" s="15"/>
      <c r="K121" s="15"/>
      <c r="L121" s="15"/>
      <c r="M121" s="15"/>
      <c r="N121" s="15">
        <f>3+2</f>
        <v>5</v>
      </c>
      <c r="O121" s="15">
        <f>83200+14249+29500+29500</f>
        <v>156449</v>
      </c>
      <c r="P121" s="15">
        <v>3</v>
      </c>
      <c r="Q121" s="15">
        <v>100000</v>
      </c>
      <c r="R121" s="16"/>
      <c r="S121" s="3"/>
      <c r="T121" s="3"/>
      <c r="U121" s="3"/>
      <c r="V121" s="3"/>
      <c r="W121" s="3"/>
      <c r="X121" s="3"/>
      <c r="Y121" s="3"/>
    </row>
    <row r="122" spans="1:25" ht="15.75" customHeight="1" x14ac:dyDescent="0.25">
      <c r="A122" s="9"/>
      <c r="B122" s="10"/>
      <c r="C122" s="10"/>
      <c r="D122" s="11">
        <v>12.7</v>
      </c>
      <c r="E122" s="30" t="s">
        <v>109</v>
      </c>
      <c r="F122" s="42" t="s">
        <v>103</v>
      </c>
      <c r="G122" s="32">
        <v>2</v>
      </c>
      <c r="H122" s="32"/>
      <c r="I122" s="32">
        <v>48000</v>
      </c>
      <c r="J122" s="15"/>
      <c r="K122" s="15"/>
      <c r="L122" s="15">
        <v>1</v>
      </c>
      <c r="M122" s="15">
        <v>8000</v>
      </c>
      <c r="N122" s="15"/>
      <c r="O122" s="15"/>
      <c r="P122" s="15">
        <v>1</v>
      </c>
      <c r="Q122" s="15">
        <v>40000</v>
      </c>
      <c r="R122" s="16"/>
      <c r="S122" s="3"/>
      <c r="T122" s="3"/>
      <c r="U122" s="3"/>
      <c r="V122" s="3"/>
      <c r="W122" s="3"/>
      <c r="X122" s="3"/>
      <c r="Y122" s="3"/>
    </row>
    <row r="123" spans="1:25" ht="15.75" customHeight="1" x14ac:dyDescent="0.25">
      <c r="A123" s="9"/>
      <c r="B123" s="10"/>
      <c r="C123" s="10"/>
      <c r="D123" s="11">
        <v>12.8</v>
      </c>
      <c r="E123" s="30" t="s">
        <v>110</v>
      </c>
      <c r="F123" s="42" t="s">
        <v>103</v>
      </c>
      <c r="G123" s="32">
        <v>2</v>
      </c>
      <c r="H123" s="32"/>
      <c r="I123" s="32">
        <f>G123*7000</f>
        <v>14000</v>
      </c>
      <c r="J123" s="15"/>
      <c r="K123" s="15"/>
      <c r="L123" s="15">
        <v>1</v>
      </c>
      <c r="M123" s="15">
        <v>7000</v>
      </c>
      <c r="N123" s="15"/>
      <c r="O123" s="15"/>
      <c r="P123" s="15">
        <v>1</v>
      </c>
      <c r="Q123" s="15">
        <v>7000</v>
      </c>
      <c r="R123" s="16"/>
      <c r="S123" s="3"/>
      <c r="T123" s="3"/>
      <c r="U123" s="3"/>
      <c r="V123" s="3"/>
      <c r="W123" s="3"/>
      <c r="X123" s="3"/>
      <c r="Y123" s="3"/>
    </row>
    <row r="124" spans="1:25" ht="30.75" customHeight="1" x14ac:dyDescent="0.25">
      <c r="A124" s="9"/>
      <c r="B124" s="10"/>
      <c r="C124" s="10"/>
      <c r="D124" s="11">
        <v>12.9</v>
      </c>
      <c r="E124" s="17" t="s">
        <v>111</v>
      </c>
      <c r="F124" s="42" t="s">
        <v>103</v>
      </c>
      <c r="G124" s="32">
        <v>2</v>
      </c>
      <c r="H124" s="32"/>
      <c r="I124" s="32">
        <v>60000</v>
      </c>
      <c r="J124" s="15"/>
      <c r="K124" s="15"/>
      <c r="L124" s="15"/>
      <c r="M124" s="15"/>
      <c r="N124" s="15"/>
      <c r="O124" s="15"/>
      <c r="P124" s="15">
        <v>2</v>
      </c>
      <c r="Q124" s="15">
        <v>60000</v>
      </c>
      <c r="R124" s="16"/>
      <c r="S124" s="3"/>
      <c r="T124" s="3"/>
      <c r="U124" s="3"/>
      <c r="V124" s="3"/>
      <c r="W124" s="3"/>
      <c r="X124" s="3"/>
      <c r="Y124" s="3"/>
    </row>
    <row r="125" spans="1:25" ht="30.75" customHeight="1" x14ac:dyDescent="0.25">
      <c r="A125" s="9"/>
      <c r="B125" s="10"/>
      <c r="C125" s="10"/>
      <c r="D125" s="11">
        <v>12.1</v>
      </c>
      <c r="E125" s="17" t="s">
        <v>361</v>
      </c>
      <c r="F125" s="42"/>
      <c r="G125" s="32">
        <v>4</v>
      </c>
      <c r="H125" s="32"/>
      <c r="I125" s="32">
        <v>150000</v>
      </c>
      <c r="J125" s="15"/>
      <c r="K125" s="15"/>
      <c r="L125" s="15"/>
      <c r="M125" s="15"/>
      <c r="N125" s="15"/>
      <c r="O125" s="15"/>
      <c r="P125" s="15">
        <v>4</v>
      </c>
      <c r="Q125" s="15">
        <v>150000</v>
      </c>
      <c r="R125" s="16"/>
      <c r="S125" s="3"/>
      <c r="T125" s="3"/>
      <c r="U125" s="3"/>
      <c r="V125" s="3"/>
      <c r="W125" s="3"/>
      <c r="X125" s="3"/>
      <c r="Y125" s="3"/>
    </row>
    <row r="126" spans="1:25" ht="30.75" customHeight="1" x14ac:dyDescent="0.25">
      <c r="A126" s="9"/>
      <c r="B126" s="10"/>
      <c r="C126" s="10"/>
      <c r="D126" s="11">
        <v>12.11</v>
      </c>
      <c r="E126" s="17" t="s">
        <v>362</v>
      </c>
      <c r="F126" s="42" t="s">
        <v>103</v>
      </c>
      <c r="G126" s="32">
        <v>10</v>
      </c>
      <c r="H126" s="32"/>
      <c r="I126" s="32">
        <v>400000</v>
      </c>
      <c r="J126" s="15"/>
      <c r="K126" s="15"/>
      <c r="L126" s="15"/>
      <c r="M126" s="15"/>
      <c r="N126" s="15"/>
      <c r="O126" s="15"/>
      <c r="P126" s="15">
        <v>10</v>
      </c>
      <c r="Q126" s="15">
        <v>400000</v>
      </c>
      <c r="R126" s="16"/>
      <c r="S126" s="3"/>
      <c r="T126" s="3"/>
      <c r="U126" s="3"/>
      <c r="V126" s="3"/>
      <c r="W126" s="3"/>
      <c r="X126" s="3"/>
      <c r="Y126" s="3"/>
    </row>
    <row r="127" spans="1:25" ht="15.75" customHeight="1" x14ac:dyDescent="0.25">
      <c r="A127" s="9"/>
      <c r="B127" s="10"/>
      <c r="C127" s="10"/>
      <c r="D127" s="11"/>
      <c r="E127" s="30"/>
      <c r="F127" s="42"/>
      <c r="G127" s="32"/>
      <c r="H127" s="32"/>
      <c r="I127" s="23">
        <f>SUM(I116:I126)</f>
        <v>2890649</v>
      </c>
      <c r="J127" s="23"/>
      <c r="K127" s="23">
        <f>SUM(K116:K125)</f>
        <v>519500</v>
      </c>
      <c r="L127" s="23"/>
      <c r="M127" s="23">
        <f>SUM(M116:M125)</f>
        <v>15000</v>
      </c>
      <c r="N127" s="23"/>
      <c r="O127" s="23">
        <f>SUM(O116:O125)</f>
        <v>1459149</v>
      </c>
      <c r="P127" s="23"/>
      <c r="Q127" s="23">
        <f>SUM(Q116:Q126)</f>
        <v>897000</v>
      </c>
      <c r="R127" s="16"/>
      <c r="S127" s="84"/>
      <c r="T127" s="3"/>
      <c r="U127" s="3"/>
      <c r="V127" s="3"/>
      <c r="W127" s="3"/>
      <c r="X127" s="3"/>
      <c r="Y127" s="3"/>
    </row>
    <row r="128" spans="1:25" ht="15.75" customHeight="1" x14ac:dyDescent="0.25">
      <c r="A128" s="9"/>
      <c r="B128" s="10"/>
      <c r="C128" s="48"/>
      <c r="D128" s="49"/>
      <c r="E128" s="50" t="s">
        <v>112</v>
      </c>
      <c r="F128" s="51"/>
      <c r="G128" s="52"/>
      <c r="H128" s="52"/>
      <c r="I128" s="52"/>
      <c r="J128" s="15"/>
      <c r="K128" s="15"/>
      <c r="L128" s="15"/>
      <c r="M128" s="15"/>
      <c r="N128" s="15"/>
      <c r="O128" s="15"/>
      <c r="P128" s="15"/>
      <c r="Q128" s="15"/>
      <c r="R128" s="16"/>
      <c r="S128" s="3"/>
      <c r="T128" s="3"/>
      <c r="U128" s="3"/>
      <c r="V128" s="3"/>
      <c r="W128" s="3"/>
      <c r="X128" s="3"/>
      <c r="Y128" s="3"/>
    </row>
    <row r="129" spans="1:25" ht="15.75" customHeight="1" x14ac:dyDescent="0.25">
      <c r="A129" s="9"/>
      <c r="B129" s="10"/>
      <c r="C129" s="48"/>
      <c r="D129" s="49">
        <v>15</v>
      </c>
      <c r="E129" s="53" t="s">
        <v>113</v>
      </c>
      <c r="F129" s="54"/>
      <c r="G129" s="55"/>
      <c r="H129" s="55"/>
      <c r="I129" s="55"/>
      <c r="J129" s="15"/>
      <c r="K129" s="15"/>
      <c r="L129" s="15"/>
      <c r="M129" s="15"/>
      <c r="N129" s="15"/>
      <c r="O129" s="15"/>
      <c r="P129" s="15"/>
      <c r="Q129" s="15"/>
      <c r="R129" s="16"/>
      <c r="S129" s="3"/>
      <c r="T129" s="3"/>
      <c r="U129" s="3"/>
      <c r="V129" s="3"/>
      <c r="W129" s="3"/>
      <c r="X129" s="3"/>
      <c r="Y129" s="3"/>
    </row>
    <row r="130" spans="1:25" ht="15.75" customHeight="1" x14ac:dyDescent="0.25">
      <c r="A130" s="9"/>
      <c r="B130" s="10"/>
      <c r="C130" s="48"/>
      <c r="D130" s="49">
        <v>15.1</v>
      </c>
      <c r="E130" s="30" t="s">
        <v>114</v>
      </c>
      <c r="F130" s="18" t="s">
        <v>22</v>
      </c>
      <c r="G130" s="32">
        <v>12</v>
      </c>
      <c r="H130" s="55"/>
      <c r="I130" s="55">
        <f>[4]города!$AR$46</f>
        <v>1137.8898305084747</v>
      </c>
      <c r="J130" s="15">
        <v>12</v>
      </c>
      <c r="K130" s="15">
        <v>1138</v>
      </c>
      <c r="L130" s="15"/>
      <c r="M130" s="15"/>
      <c r="N130" s="15"/>
      <c r="O130" s="15"/>
      <c r="P130" s="15"/>
      <c r="Q130" s="15"/>
      <c r="R130" s="16"/>
      <c r="S130" s="3"/>
      <c r="T130" s="3"/>
      <c r="U130" s="3"/>
      <c r="V130" s="3"/>
      <c r="W130" s="3"/>
      <c r="X130" s="3"/>
      <c r="Y130" s="3"/>
    </row>
    <row r="131" spans="1:25" ht="15.75" customHeight="1" x14ac:dyDescent="0.25">
      <c r="A131" s="9"/>
      <c r="B131" s="10"/>
      <c r="C131" s="48"/>
      <c r="D131" s="49">
        <v>15.2</v>
      </c>
      <c r="E131" s="56" t="s">
        <v>115</v>
      </c>
      <c r="F131" s="18" t="s">
        <v>22</v>
      </c>
      <c r="G131" s="32">
        <v>12</v>
      </c>
      <c r="H131" s="55"/>
      <c r="I131" s="55">
        <f>[4]арктика!$L$46</f>
        <v>1703.2104017125625</v>
      </c>
      <c r="J131" s="32">
        <v>12</v>
      </c>
      <c r="K131" s="55">
        <v>1703</v>
      </c>
      <c r="L131" s="15"/>
      <c r="M131" s="15"/>
      <c r="N131" s="15"/>
      <c r="O131" s="15"/>
      <c r="P131" s="15"/>
      <c r="Q131" s="15"/>
      <c r="R131" s="16"/>
      <c r="S131" s="3"/>
      <c r="T131" s="3"/>
      <c r="U131" s="3"/>
      <c r="V131" s="3"/>
      <c r="W131" s="3"/>
      <c r="X131" s="3"/>
      <c r="Y131" s="3"/>
    </row>
    <row r="132" spans="1:25" ht="15.75" customHeight="1" x14ac:dyDescent="0.25">
      <c r="A132" s="9"/>
      <c r="B132" s="10"/>
      <c r="C132" s="48"/>
      <c r="D132" s="49">
        <v>15.3</v>
      </c>
      <c r="E132" s="56" t="s">
        <v>116</v>
      </c>
      <c r="F132" s="18" t="s">
        <v>22</v>
      </c>
      <c r="G132" s="32">
        <v>12</v>
      </c>
      <c r="H132" s="55"/>
      <c r="I132" s="55">
        <f>'[4]центральная зона'!$AR$46</f>
        <v>650.2270992382546</v>
      </c>
      <c r="J132" s="15">
        <v>12</v>
      </c>
      <c r="K132" s="15">
        <v>650</v>
      </c>
      <c r="L132" s="15"/>
      <c r="M132" s="15"/>
      <c r="N132" s="15"/>
      <c r="O132" s="15"/>
      <c r="P132" s="15"/>
      <c r="Q132" s="15"/>
      <c r="R132" s="16"/>
      <c r="S132" s="3"/>
      <c r="T132" s="3"/>
      <c r="U132" s="3"/>
      <c r="V132" s="3"/>
      <c r="W132" s="3"/>
      <c r="X132" s="3"/>
      <c r="Y132" s="3"/>
    </row>
    <row r="133" spans="1:25" ht="15.75" customHeight="1" x14ac:dyDescent="0.25">
      <c r="A133" s="9"/>
      <c r="B133" s="10"/>
      <c r="C133" s="48"/>
      <c r="D133" s="49">
        <v>15.4</v>
      </c>
      <c r="E133" s="56" t="s">
        <v>117</v>
      </c>
      <c r="F133" s="18" t="s">
        <v>22</v>
      </c>
      <c r="G133" s="32">
        <v>12</v>
      </c>
      <c r="H133" s="55"/>
      <c r="I133" s="55">
        <f>[4]арктика!$DD$46</f>
        <v>376.29999999999995</v>
      </c>
      <c r="J133" s="15">
        <v>12</v>
      </c>
      <c r="K133" s="15">
        <v>376</v>
      </c>
      <c r="L133" s="15"/>
      <c r="M133" s="15"/>
      <c r="N133" s="15"/>
      <c r="O133" s="15"/>
      <c r="P133" s="15"/>
      <c r="Q133" s="15"/>
      <c r="R133" s="16"/>
      <c r="S133" s="3"/>
      <c r="T133" s="3"/>
      <c r="U133" s="3"/>
      <c r="V133" s="3"/>
      <c r="W133" s="3"/>
      <c r="X133" s="3"/>
      <c r="Y133" s="3"/>
    </row>
    <row r="134" spans="1:25" ht="15.75" customHeight="1" x14ac:dyDescent="0.25">
      <c r="A134" s="9"/>
      <c r="B134" s="10"/>
      <c r="C134" s="48"/>
      <c r="D134" s="49">
        <v>15.5</v>
      </c>
      <c r="E134" s="56" t="s">
        <v>118</v>
      </c>
      <c r="F134" s="18" t="s">
        <v>22</v>
      </c>
      <c r="G134" s="32">
        <v>12</v>
      </c>
      <c r="H134" s="55"/>
      <c r="I134" s="55">
        <f>[4]арктика!$DT$46</f>
        <v>3183.08</v>
      </c>
      <c r="J134" s="15">
        <v>12</v>
      </c>
      <c r="K134" s="15">
        <v>3178</v>
      </c>
      <c r="L134" s="15"/>
      <c r="M134" s="15"/>
      <c r="N134" s="15"/>
      <c r="O134" s="15"/>
      <c r="P134" s="15"/>
      <c r="Q134" s="15"/>
      <c r="R134" s="16"/>
      <c r="S134" s="3"/>
      <c r="T134" s="3"/>
      <c r="U134" s="3"/>
      <c r="V134" s="3"/>
      <c r="W134" s="3"/>
      <c r="X134" s="3"/>
      <c r="Y134" s="3"/>
    </row>
    <row r="135" spans="1:25" ht="15.75" customHeight="1" x14ac:dyDescent="0.25">
      <c r="A135" s="9"/>
      <c r="B135" s="10"/>
      <c r="C135" s="48"/>
      <c r="D135" s="49">
        <v>15.6</v>
      </c>
      <c r="E135" s="56" t="s">
        <v>119</v>
      </c>
      <c r="F135" s="18" t="s">
        <v>22</v>
      </c>
      <c r="G135" s="32">
        <v>12</v>
      </c>
      <c r="H135" s="55"/>
      <c r="I135" s="55">
        <f>[4]города!$AB$46</f>
        <v>17622.243388000003</v>
      </c>
      <c r="J135" s="15">
        <v>12</v>
      </c>
      <c r="K135" s="15">
        <v>17622</v>
      </c>
      <c r="L135" s="15"/>
      <c r="M135" s="15"/>
      <c r="N135" s="15"/>
      <c r="O135" s="15"/>
      <c r="P135" s="15"/>
      <c r="Q135" s="15"/>
      <c r="R135" s="16"/>
      <c r="S135" s="3"/>
      <c r="T135" s="3"/>
      <c r="U135" s="3"/>
      <c r="V135" s="3"/>
      <c r="W135" s="3"/>
      <c r="X135" s="3"/>
      <c r="Y135" s="3"/>
    </row>
    <row r="136" spans="1:25" ht="15.75" customHeight="1" x14ac:dyDescent="0.25">
      <c r="A136" s="9"/>
      <c r="B136" s="10"/>
      <c r="C136" s="48"/>
      <c r="D136" s="49">
        <v>15.7</v>
      </c>
      <c r="E136" s="56" t="s">
        <v>120</v>
      </c>
      <c r="F136" s="18" t="s">
        <v>22</v>
      </c>
      <c r="G136" s="32">
        <v>12</v>
      </c>
      <c r="H136" s="55"/>
      <c r="I136" s="55">
        <f>'[4]центральная зона'!$BH$46</f>
        <v>2178.1776</v>
      </c>
      <c r="J136" s="15">
        <v>12</v>
      </c>
      <c r="K136" s="15">
        <v>2178</v>
      </c>
      <c r="L136" s="15"/>
      <c r="M136" s="15"/>
      <c r="N136" s="15"/>
      <c r="O136" s="15"/>
      <c r="P136" s="15"/>
      <c r="Q136" s="15"/>
      <c r="R136" s="16"/>
      <c r="S136" s="3"/>
      <c r="T136" s="3"/>
      <c r="U136" s="3"/>
      <c r="V136" s="3"/>
      <c r="W136" s="3"/>
      <c r="X136" s="3"/>
      <c r="Y136" s="3"/>
    </row>
    <row r="137" spans="1:25" ht="15.75" customHeight="1" x14ac:dyDescent="0.25">
      <c r="A137" s="9"/>
      <c r="B137" s="10"/>
      <c r="C137" s="48"/>
      <c r="D137" s="49">
        <v>15.8</v>
      </c>
      <c r="E137" s="56" t="s">
        <v>121</v>
      </c>
      <c r="F137" s="18" t="s">
        <v>22</v>
      </c>
      <c r="G137" s="32">
        <v>12</v>
      </c>
      <c r="H137" s="55"/>
      <c r="I137" s="55">
        <f>[4]города!$BH$46</f>
        <v>3446</v>
      </c>
      <c r="J137" s="15">
        <v>12</v>
      </c>
      <c r="K137" s="15">
        <v>3446</v>
      </c>
      <c r="L137" s="15"/>
      <c r="M137" s="15"/>
      <c r="N137" s="15"/>
      <c r="O137" s="15"/>
      <c r="P137" s="15"/>
      <c r="Q137" s="15"/>
      <c r="R137" s="16"/>
      <c r="S137" s="3"/>
      <c r="T137" s="3"/>
      <c r="U137" s="3"/>
      <c r="V137" s="3"/>
      <c r="W137" s="3"/>
      <c r="X137" s="3"/>
      <c r="Y137" s="3"/>
    </row>
    <row r="138" spans="1:25" ht="15.75" customHeight="1" x14ac:dyDescent="0.25">
      <c r="A138" s="9"/>
      <c r="B138" s="10"/>
      <c r="C138" s="48"/>
      <c r="D138" s="49">
        <v>15.9</v>
      </c>
      <c r="E138" s="56" t="s">
        <v>122</v>
      </c>
      <c r="F138" s="18" t="s">
        <v>22</v>
      </c>
      <c r="G138" s="32">
        <v>12</v>
      </c>
      <c r="H138" s="55"/>
      <c r="I138" s="55">
        <f>[4]города!$CN$46</f>
        <v>7205.0895</v>
      </c>
      <c r="J138" s="15">
        <v>12</v>
      </c>
      <c r="K138" s="15">
        <v>7205</v>
      </c>
      <c r="L138" s="15"/>
      <c r="M138" s="15"/>
      <c r="N138" s="15"/>
      <c r="O138" s="15"/>
      <c r="P138" s="15"/>
      <c r="Q138" s="15"/>
      <c r="R138" s="16"/>
      <c r="S138" s="3"/>
      <c r="T138" s="3"/>
      <c r="U138" s="3"/>
      <c r="V138" s="3"/>
      <c r="W138" s="3"/>
      <c r="X138" s="3"/>
      <c r="Y138" s="3"/>
    </row>
    <row r="139" spans="1:25" ht="15.75" customHeight="1" x14ac:dyDescent="0.25">
      <c r="A139" s="9"/>
      <c r="B139" s="10"/>
      <c r="C139" s="48"/>
      <c r="D139" s="57">
        <v>15.1</v>
      </c>
      <c r="E139" s="56" t="s">
        <v>123</v>
      </c>
      <c r="F139" s="18" t="s">
        <v>22</v>
      </c>
      <c r="G139" s="32">
        <v>12</v>
      </c>
      <c r="H139" s="55"/>
      <c r="I139" s="55">
        <f>[4]арктика!$EZ$46</f>
        <v>691.05084745762724</v>
      </c>
      <c r="J139" s="15">
        <v>12</v>
      </c>
      <c r="K139" s="15">
        <v>691</v>
      </c>
      <c r="L139" s="15"/>
      <c r="M139" s="15"/>
      <c r="N139" s="15"/>
      <c r="O139" s="15"/>
      <c r="P139" s="15"/>
      <c r="Q139" s="15"/>
      <c r="R139" s="16"/>
      <c r="S139" s="3"/>
      <c r="T139" s="3"/>
      <c r="U139" s="3"/>
      <c r="V139" s="3"/>
      <c r="W139" s="3"/>
      <c r="X139" s="3"/>
      <c r="Y139" s="3"/>
    </row>
    <row r="140" spans="1:25" ht="15.75" customHeight="1" x14ac:dyDescent="0.25">
      <c r="A140" s="9"/>
      <c r="B140" s="10"/>
      <c r="C140" s="48"/>
      <c r="D140" s="49">
        <v>15.11</v>
      </c>
      <c r="E140" s="56" t="s">
        <v>124</v>
      </c>
      <c r="F140" s="18" t="s">
        <v>22</v>
      </c>
      <c r="G140" s="32">
        <v>12</v>
      </c>
      <c r="H140" s="55"/>
      <c r="I140" s="55">
        <f>[4]города!$BX$46</f>
        <v>1622.41</v>
      </c>
      <c r="J140" s="15">
        <v>12</v>
      </c>
      <c r="K140" s="15">
        <v>1622</v>
      </c>
      <c r="L140" s="15"/>
      <c r="M140" s="15"/>
      <c r="N140" s="15"/>
      <c r="O140" s="15"/>
      <c r="P140" s="15"/>
      <c r="Q140" s="15"/>
      <c r="R140" s="16"/>
      <c r="S140" s="3"/>
      <c r="T140" s="3"/>
      <c r="U140" s="3"/>
      <c r="V140" s="3"/>
      <c r="W140" s="3"/>
      <c r="X140" s="3"/>
      <c r="Y140" s="3"/>
    </row>
    <row r="141" spans="1:25" ht="15.75" customHeight="1" x14ac:dyDescent="0.25">
      <c r="A141" s="9"/>
      <c r="B141" s="10"/>
      <c r="C141" s="48"/>
      <c r="D141" s="49">
        <v>15.12</v>
      </c>
      <c r="E141" s="56" t="s">
        <v>125</v>
      </c>
      <c r="F141" s="18" t="s">
        <v>22</v>
      </c>
      <c r="G141" s="32">
        <v>12</v>
      </c>
      <c r="H141" s="55"/>
      <c r="I141" s="55">
        <f>'[4]центральная зона'!$EZ$46</f>
        <v>886.07270999999992</v>
      </c>
      <c r="J141" s="15">
        <v>12</v>
      </c>
      <c r="K141" s="15">
        <v>886</v>
      </c>
      <c r="L141" s="15"/>
      <c r="M141" s="15"/>
      <c r="N141" s="15"/>
      <c r="O141" s="15"/>
      <c r="P141" s="15"/>
      <c r="Q141" s="15"/>
      <c r="R141" s="16"/>
      <c r="S141" s="3"/>
      <c r="T141" s="3"/>
      <c r="U141" s="3"/>
      <c r="V141" s="3"/>
      <c r="W141" s="3"/>
      <c r="X141" s="3"/>
      <c r="Y141" s="3"/>
    </row>
    <row r="142" spans="1:25" ht="15.75" customHeight="1" x14ac:dyDescent="0.25">
      <c r="A142" s="9"/>
      <c r="B142" s="10"/>
      <c r="C142" s="48"/>
      <c r="D142" s="49">
        <v>15.13</v>
      </c>
      <c r="E142" s="56" t="s">
        <v>126</v>
      </c>
      <c r="F142" s="18" t="s">
        <v>22</v>
      </c>
      <c r="G142" s="32">
        <v>12</v>
      </c>
      <c r="H142" s="55"/>
      <c r="I142" s="55">
        <f>[4]ЦА!$DH$46+[4]ЦА!$DY$46+[4]города!$DF$46</f>
        <v>135140.43801888361</v>
      </c>
      <c r="J142" s="15">
        <v>12</v>
      </c>
      <c r="K142" s="15">
        <v>135140</v>
      </c>
      <c r="L142" s="15"/>
      <c r="M142" s="15"/>
      <c r="N142" s="15"/>
      <c r="O142" s="15"/>
      <c r="P142" s="15"/>
      <c r="Q142" s="15"/>
      <c r="R142" s="16"/>
      <c r="S142" s="3"/>
      <c r="T142" s="3"/>
      <c r="U142" s="3"/>
      <c r="V142" s="3"/>
      <c r="W142" s="3"/>
      <c r="X142" s="3"/>
      <c r="Y142" s="3"/>
    </row>
    <row r="143" spans="1:25" ht="15.75" customHeight="1" x14ac:dyDescent="0.25">
      <c r="A143" s="9"/>
      <c r="B143" s="10"/>
      <c r="C143" s="48"/>
      <c r="D143" s="49"/>
      <c r="E143" s="56"/>
      <c r="F143" s="54"/>
      <c r="G143" s="58"/>
      <c r="H143" s="55"/>
      <c r="I143" s="59">
        <f>SUM(I130:I142)</f>
        <v>175842.18939580052</v>
      </c>
      <c r="J143" s="15"/>
      <c r="K143" s="52">
        <f>SUM(K130:K142)</f>
        <v>175835</v>
      </c>
      <c r="L143" s="15"/>
      <c r="M143" s="52"/>
      <c r="N143" s="15"/>
      <c r="O143" s="52"/>
      <c r="P143" s="15"/>
      <c r="Q143" s="52"/>
      <c r="R143" s="16"/>
      <c r="S143" s="3"/>
      <c r="T143" s="3"/>
      <c r="U143" s="3"/>
      <c r="V143" s="3"/>
      <c r="W143" s="3"/>
      <c r="X143" s="3"/>
      <c r="Y143" s="3"/>
    </row>
    <row r="144" spans="1:25" ht="15.75" customHeight="1" x14ac:dyDescent="0.25">
      <c r="A144" s="9"/>
      <c r="B144" s="10"/>
      <c r="C144" s="48"/>
      <c r="D144" s="49">
        <v>16</v>
      </c>
      <c r="E144" s="53" t="s">
        <v>127</v>
      </c>
      <c r="F144" s="54"/>
      <c r="G144" s="55"/>
      <c r="H144" s="55"/>
      <c r="I144" s="55"/>
      <c r="J144" s="15"/>
      <c r="K144" s="15"/>
      <c r="L144" s="15"/>
      <c r="M144" s="15"/>
      <c r="N144" s="15"/>
      <c r="O144" s="15"/>
      <c r="P144" s="15"/>
      <c r="Q144" s="15"/>
      <c r="R144" s="16"/>
      <c r="S144" s="3"/>
      <c r="T144" s="3"/>
      <c r="U144" s="3"/>
      <c r="V144" s="3"/>
      <c r="W144" s="3"/>
      <c r="X144" s="3"/>
      <c r="Y144" s="3"/>
    </row>
    <row r="145" spans="1:25" ht="15.75" customHeight="1" x14ac:dyDescent="0.25">
      <c r="A145" s="9"/>
      <c r="B145" s="10"/>
      <c r="C145" s="48"/>
      <c r="D145" s="49">
        <v>16.100000000000001</v>
      </c>
      <c r="E145" s="30" t="s">
        <v>114</v>
      </c>
      <c r="F145" s="18" t="s">
        <v>22</v>
      </c>
      <c r="G145" s="32">
        <v>12</v>
      </c>
      <c r="H145" s="55"/>
      <c r="I145" s="55">
        <f>[4]города!$AR$47</f>
        <v>22121.522400000002</v>
      </c>
      <c r="J145" s="15">
        <v>12</v>
      </c>
      <c r="K145" s="15">
        <f>I145</f>
        <v>22121.522400000002</v>
      </c>
      <c r="L145" s="15"/>
      <c r="M145" s="15"/>
      <c r="N145" s="15"/>
      <c r="O145" s="15"/>
      <c r="P145" s="15"/>
      <c r="Q145" s="15"/>
      <c r="R145" s="16"/>
      <c r="S145" s="3"/>
      <c r="T145" s="3"/>
      <c r="U145" s="3"/>
      <c r="V145" s="3"/>
      <c r="W145" s="3"/>
      <c r="X145" s="3"/>
      <c r="Y145" s="3"/>
    </row>
    <row r="146" spans="1:25" ht="15.75" customHeight="1" x14ac:dyDescent="0.25">
      <c r="A146" s="9"/>
      <c r="B146" s="10"/>
      <c r="C146" s="48"/>
      <c r="D146" s="49">
        <v>16.2</v>
      </c>
      <c r="E146" s="56" t="s">
        <v>115</v>
      </c>
      <c r="F146" s="18" t="s">
        <v>22</v>
      </c>
      <c r="G146" s="32">
        <v>12</v>
      </c>
      <c r="H146" s="55"/>
      <c r="I146" s="55">
        <f>[4]арктика!$L$47</f>
        <v>64723.259520000007</v>
      </c>
      <c r="J146" s="15">
        <v>12</v>
      </c>
      <c r="K146" s="15">
        <f t="shared" ref="K146:K163" si="2">I146</f>
        <v>64723.259520000007</v>
      </c>
      <c r="L146" s="15"/>
      <c r="M146" s="15"/>
      <c r="N146" s="15"/>
      <c r="O146" s="15"/>
      <c r="P146" s="15"/>
      <c r="Q146" s="15"/>
      <c r="R146" s="16"/>
      <c r="S146" s="3"/>
      <c r="T146" s="3"/>
      <c r="U146" s="3"/>
      <c r="V146" s="3"/>
      <c r="W146" s="3"/>
      <c r="X146" s="3"/>
      <c r="Y146" s="3"/>
    </row>
    <row r="147" spans="1:25" ht="15.75" customHeight="1" x14ac:dyDescent="0.25">
      <c r="A147" s="9"/>
      <c r="B147" s="10"/>
      <c r="C147" s="48"/>
      <c r="D147" s="49">
        <v>16.3</v>
      </c>
      <c r="E147" s="56" t="s">
        <v>128</v>
      </c>
      <c r="F147" s="18" t="s">
        <v>22</v>
      </c>
      <c r="G147" s="32">
        <v>12</v>
      </c>
      <c r="H147" s="55"/>
      <c r="I147" s="55">
        <f>[4]вил!$AB$47</f>
        <v>93748.99</v>
      </c>
      <c r="J147" s="15">
        <v>12</v>
      </c>
      <c r="K147" s="15">
        <f t="shared" si="2"/>
        <v>93748.99</v>
      </c>
      <c r="L147" s="15"/>
      <c r="M147" s="15"/>
      <c r="N147" s="15"/>
      <c r="O147" s="15"/>
      <c r="P147" s="15"/>
      <c r="Q147" s="15"/>
      <c r="R147" s="16"/>
      <c r="S147" s="3"/>
      <c r="T147" s="3"/>
      <c r="U147" s="3"/>
      <c r="V147" s="3"/>
      <c r="W147" s="3"/>
      <c r="X147" s="3"/>
      <c r="Y147" s="3"/>
    </row>
    <row r="148" spans="1:25" ht="15.75" customHeight="1" x14ac:dyDescent="0.25">
      <c r="A148" s="9"/>
      <c r="B148" s="10"/>
      <c r="C148" s="48"/>
      <c r="D148" s="49">
        <v>16.399999999999999</v>
      </c>
      <c r="E148" s="56" t="s">
        <v>116</v>
      </c>
      <c r="F148" s="18" t="s">
        <v>22</v>
      </c>
      <c r="G148" s="32">
        <v>12</v>
      </c>
      <c r="H148" s="55"/>
      <c r="I148" s="55">
        <f>'[4]центральная зона'!$AR$47</f>
        <v>13302.971880000003</v>
      </c>
      <c r="J148" s="15">
        <v>12</v>
      </c>
      <c r="K148" s="15">
        <f t="shared" si="2"/>
        <v>13302.971880000003</v>
      </c>
      <c r="L148" s="15"/>
      <c r="M148" s="15"/>
      <c r="N148" s="15"/>
      <c r="O148" s="15"/>
      <c r="P148" s="15"/>
      <c r="Q148" s="15"/>
      <c r="R148" s="16"/>
      <c r="S148" s="3"/>
      <c r="T148" s="3"/>
      <c r="U148" s="3"/>
      <c r="V148" s="3"/>
      <c r="W148" s="3"/>
      <c r="X148" s="3"/>
      <c r="Y148" s="3"/>
    </row>
    <row r="149" spans="1:25" ht="15.75" customHeight="1" x14ac:dyDescent="0.25">
      <c r="A149" s="9"/>
      <c r="B149" s="10"/>
      <c r="C149" s="48"/>
      <c r="D149" s="49">
        <v>16.5</v>
      </c>
      <c r="E149" s="56" t="s">
        <v>117</v>
      </c>
      <c r="F149" s="18" t="s">
        <v>22</v>
      </c>
      <c r="G149" s="32">
        <v>12</v>
      </c>
      <c r="H149" s="55"/>
      <c r="I149" s="55">
        <f>[4]арктика!$DE$47</f>
        <v>51963.434999999998</v>
      </c>
      <c r="J149" s="15">
        <v>12</v>
      </c>
      <c r="K149" s="15">
        <f t="shared" si="2"/>
        <v>51963.434999999998</v>
      </c>
      <c r="L149" s="15"/>
      <c r="M149" s="15"/>
      <c r="N149" s="15"/>
      <c r="O149" s="15"/>
      <c r="P149" s="15"/>
      <c r="Q149" s="15"/>
      <c r="R149" s="16"/>
      <c r="S149" s="3"/>
      <c r="T149" s="3"/>
      <c r="U149" s="3"/>
      <c r="V149" s="3"/>
      <c r="W149" s="3"/>
      <c r="X149" s="3"/>
      <c r="Y149" s="3"/>
    </row>
    <row r="150" spans="1:25" ht="15.75" customHeight="1" x14ac:dyDescent="0.25">
      <c r="A150" s="9"/>
      <c r="B150" s="10"/>
      <c r="C150" s="48"/>
      <c r="D150" s="49">
        <v>16.600000000000001</v>
      </c>
      <c r="E150" s="56" t="s">
        <v>118</v>
      </c>
      <c r="F150" s="18" t="s">
        <v>22</v>
      </c>
      <c r="G150" s="32">
        <v>12</v>
      </c>
      <c r="H150" s="55"/>
      <c r="I150" s="55">
        <f>[4]арктика!$DT$47</f>
        <v>45184.78</v>
      </c>
      <c r="J150" s="15">
        <v>12</v>
      </c>
      <c r="K150" s="15">
        <f t="shared" si="2"/>
        <v>45184.78</v>
      </c>
      <c r="L150" s="15"/>
      <c r="M150" s="15"/>
      <c r="N150" s="15"/>
      <c r="O150" s="15"/>
      <c r="P150" s="15"/>
      <c r="Q150" s="15"/>
      <c r="R150" s="16"/>
      <c r="S150" s="3"/>
      <c r="T150" s="3"/>
      <c r="U150" s="3"/>
      <c r="V150" s="3"/>
      <c r="W150" s="3"/>
      <c r="X150" s="3"/>
      <c r="Y150" s="3"/>
    </row>
    <row r="151" spans="1:25" ht="15.75" customHeight="1" x14ac:dyDescent="0.25">
      <c r="A151" s="9"/>
      <c r="B151" s="10"/>
      <c r="C151" s="48"/>
      <c r="D151" s="49">
        <v>16.7</v>
      </c>
      <c r="E151" s="56" t="s">
        <v>119</v>
      </c>
      <c r="F151" s="18" t="s">
        <v>22</v>
      </c>
      <c r="G151" s="32">
        <v>12</v>
      </c>
      <c r="H151" s="55"/>
      <c r="I151" s="55">
        <f>[4]города!$AB$47</f>
        <v>690838.29220000003</v>
      </c>
      <c r="J151" s="15">
        <v>12</v>
      </c>
      <c r="K151" s="15">
        <f t="shared" si="2"/>
        <v>690838.29220000003</v>
      </c>
      <c r="L151" s="15"/>
      <c r="M151" s="15"/>
      <c r="N151" s="15"/>
      <c r="O151" s="15"/>
      <c r="P151" s="15"/>
      <c r="Q151" s="15"/>
      <c r="R151" s="16"/>
      <c r="S151" s="3"/>
      <c r="T151" s="3"/>
      <c r="U151" s="3"/>
      <c r="V151" s="3"/>
      <c r="W151" s="3"/>
      <c r="X151" s="3"/>
      <c r="Y151" s="3"/>
    </row>
    <row r="152" spans="1:25" ht="15.75" customHeight="1" x14ac:dyDescent="0.25">
      <c r="A152" s="9"/>
      <c r="B152" s="10"/>
      <c r="C152" s="48"/>
      <c r="D152" s="49">
        <v>16.8</v>
      </c>
      <c r="E152" s="56" t="s">
        <v>120</v>
      </c>
      <c r="F152" s="18" t="s">
        <v>22</v>
      </c>
      <c r="G152" s="32">
        <v>12</v>
      </c>
      <c r="H152" s="55"/>
      <c r="I152" s="55">
        <f>'[4]центральная зона'!$BH$47</f>
        <v>18720.078000000001</v>
      </c>
      <c r="J152" s="15">
        <v>12</v>
      </c>
      <c r="K152" s="15">
        <f t="shared" si="2"/>
        <v>18720.078000000001</v>
      </c>
      <c r="L152" s="15"/>
      <c r="M152" s="15"/>
      <c r="N152" s="15"/>
      <c r="O152" s="15"/>
      <c r="P152" s="15"/>
      <c r="Q152" s="15"/>
      <c r="R152" s="16"/>
      <c r="S152" s="3"/>
      <c r="T152" s="3"/>
      <c r="U152" s="3"/>
      <c r="V152" s="3"/>
      <c r="W152" s="3"/>
      <c r="X152" s="3"/>
      <c r="Y152" s="3"/>
    </row>
    <row r="153" spans="1:25" ht="15.75" customHeight="1" x14ac:dyDescent="0.25">
      <c r="A153" s="9"/>
      <c r="B153" s="10"/>
      <c r="C153" s="48"/>
      <c r="D153" s="49">
        <v>16.899999999999999</v>
      </c>
      <c r="E153" s="56" t="s">
        <v>121</v>
      </c>
      <c r="F153" s="18" t="s">
        <v>22</v>
      </c>
      <c r="G153" s="32">
        <v>12</v>
      </c>
      <c r="H153" s="55"/>
      <c r="I153" s="55">
        <f>[4]города!$BH$47</f>
        <v>100227.1</v>
      </c>
      <c r="J153" s="15">
        <v>12</v>
      </c>
      <c r="K153" s="15">
        <f t="shared" si="2"/>
        <v>100227.1</v>
      </c>
      <c r="L153" s="15"/>
      <c r="M153" s="15"/>
      <c r="N153" s="15"/>
      <c r="O153" s="15"/>
      <c r="P153" s="15"/>
      <c r="Q153" s="15"/>
      <c r="R153" s="16"/>
      <c r="S153" s="3"/>
      <c r="T153" s="3"/>
      <c r="U153" s="3"/>
      <c r="V153" s="3"/>
      <c r="W153" s="3"/>
      <c r="X153" s="3"/>
      <c r="Y153" s="3"/>
    </row>
    <row r="154" spans="1:25" ht="15.75" customHeight="1" x14ac:dyDescent="0.25">
      <c r="A154" s="9"/>
      <c r="B154" s="10"/>
      <c r="C154" s="48"/>
      <c r="D154" s="57">
        <v>16.100000000000001</v>
      </c>
      <c r="E154" s="56" t="s">
        <v>122</v>
      </c>
      <c r="F154" s="18" t="s">
        <v>22</v>
      </c>
      <c r="G154" s="32">
        <v>12</v>
      </c>
      <c r="H154" s="55"/>
      <c r="I154" s="55">
        <f>[4]города!$CN$47</f>
        <v>53237.49760000001</v>
      </c>
      <c r="J154" s="15">
        <v>12</v>
      </c>
      <c r="K154" s="15">
        <f t="shared" si="2"/>
        <v>53237.49760000001</v>
      </c>
      <c r="L154" s="15"/>
      <c r="M154" s="15"/>
      <c r="N154" s="15"/>
      <c r="O154" s="15"/>
      <c r="P154" s="15"/>
      <c r="Q154" s="15"/>
      <c r="R154" s="16"/>
      <c r="S154" s="3"/>
      <c r="T154" s="3"/>
      <c r="U154" s="3"/>
      <c r="V154" s="3"/>
      <c r="W154" s="3"/>
      <c r="X154" s="3"/>
      <c r="Y154" s="3"/>
    </row>
    <row r="155" spans="1:25" ht="15.75" customHeight="1" x14ac:dyDescent="0.25">
      <c r="A155" s="9"/>
      <c r="B155" s="10"/>
      <c r="C155" s="48"/>
      <c r="D155" s="49">
        <v>16.11</v>
      </c>
      <c r="E155" s="56" t="s">
        <v>123</v>
      </c>
      <c r="F155" s="18" t="s">
        <v>22</v>
      </c>
      <c r="G155" s="32">
        <v>12</v>
      </c>
      <c r="H155" s="55"/>
      <c r="I155" s="55">
        <f>[4]арктика!$EZ$47</f>
        <v>40065.305084745763</v>
      </c>
      <c r="J155" s="15">
        <v>12</v>
      </c>
      <c r="K155" s="15">
        <f t="shared" si="2"/>
        <v>40065.305084745763</v>
      </c>
      <c r="L155" s="15"/>
      <c r="M155" s="15"/>
      <c r="N155" s="15"/>
      <c r="O155" s="15"/>
      <c r="P155" s="15"/>
      <c r="Q155" s="15"/>
      <c r="R155" s="16"/>
      <c r="S155" s="3"/>
      <c r="T155" s="3"/>
      <c r="U155" s="3"/>
      <c r="V155" s="3"/>
      <c r="W155" s="3"/>
      <c r="X155" s="3"/>
      <c r="Y155" s="3"/>
    </row>
    <row r="156" spans="1:25" ht="15.75" customHeight="1" x14ac:dyDescent="0.25">
      <c r="A156" s="9"/>
      <c r="B156" s="10"/>
      <c r="C156" s="48"/>
      <c r="D156" s="49">
        <v>16.12</v>
      </c>
      <c r="E156" s="56" t="s">
        <v>129</v>
      </c>
      <c r="F156" s="18" t="s">
        <v>22</v>
      </c>
      <c r="G156" s="32">
        <v>12</v>
      </c>
      <c r="H156" s="55"/>
      <c r="I156" s="55">
        <f>'[4]центральная зона'!$CN$47</f>
        <v>93501.52</v>
      </c>
      <c r="J156" s="15">
        <v>12</v>
      </c>
      <c r="K156" s="15">
        <f t="shared" si="2"/>
        <v>93501.52</v>
      </c>
      <c r="L156" s="15"/>
      <c r="M156" s="15"/>
      <c r="N156" s="15"/>
      <c r="O156" s="15"/>
      <c r="P156" s="15"/>
      <c r="Q156" s="15"/>
      <c r="R156" s="16"/>
      <c r="S156" s="3"/>
      <c r="T156" s="3"/>
      <c r="U156" s="3"/>
      <c r="V156" s="3"/>
      <c r="W156" s="3"/>
      <c r="X156" s="3"/>
      <c r="Y156" s="3"/>
    </row>
    <row r="157" spans="1:25" ht="15.75" customHeight="1" x14ac:dyDescent="0.25">
      <c r="A157" s="9"/>
      <c r="B157" s="10"/>
      <c r="C157" s="48"/>
      <c r="D157" s="49">
        <v>16.13</v>
      </c>
      <c r="E157" s="56" t="s">
        <v>130</v>
      </c>
      <c r="F157" s="18" t="s">
        <v>22</v>
      </c>
      <c r="G157" s="32">
        <v>12</v>
      </c>
      <c r="H157" s="55"/>
      <c r="I157" s="55">
        <f>[4]арктика!$GF$47</f>
        <v>41323.210999999996</v>
      </c>
      <c r="J157" s="15">
        <v>12</v>
      </c>
      <c r="K157" s="15">
        <f t="shared" si="2"/>
        <v>41323.210999999996</v>
      </c>
      <c r="L157" s="15"/>
      <c r="M157" s="15"/>
      <c r="N157" s="15"/>
      <c r="O157" s="15"/>
      <c r="P157" s="15"/>
      <c r="Q157" s="15"/>
      <c r="R157" s="16"/>
      <c r="S157" s="3"/>
      <c r="T157" s="3"/>
      <c r="U157" s="3"/>
      <c r="V157" s="3"/>
      <c r="W157" s="3"/>
      <c r="X157" s="3"/>
      <c r="Y157" s="3"/>
    </row>
    <row r="158" spans="1:25" ht="15.75" customHeight="1" x14ac:dyDescent="0.25">
      <c r="A158" s="9"/>
      <c r="B158" s="10"/>
      <c r="C158" s="48"/>
      <c r="D158" s="49">
        <v>16.14</v>
      </c>
      <c r="E158" s="56" t="s">
        <v>131</v>
      </c>
      <c r="F158" s="18" t="s">
        <v>22</v>
      </c>
      <c r="G158" s="32">
        <v>12</v>
      </c>
      <c r="H158" s="55"/>
      <c r="I158" s="55">
        <f>[4]вил!$BH$47</f>
        <v>266475.21000000002</v>
      </c>
      <c r="J158" s="15">
        <v>12</v>
      </c>
      <c r="K158" s="15">
        <f t="shared" si="2"/>
        <v>266475.21000000002</v>
      </c>
      <c r="L158" s="15"/>
      <c r="M158" s="15"/>
      <c r="N158" s="15"/>
      <c r="O158" s="15"/>
      <c r="P158" s="15"/>
      <c r="Q158" s="15"/>
      <c r="R158" s="16"/>
      <c r="S158" s="3"/>
      <c r="T158" s="3"/>
      <c r="U158" s="3"/>
      <c r="V158" s="3"/>
      <c r="W158" s="3"/>
      <c r="X158" s="3"/>
      <c r="Y158" s="3"/>
    </row>
    <row r="159" spans="1:25" ht="15.75" customHeight="1" x14ac:dyDescent="0.25">
      <c r="A159" s="9"/>
      <c r="B159" s="10"/>
      <c r="C159" s="48"/>
      <c r="D159" s="49">
        <v>16.149999999999999</v>
      </c>
      <c r="E159" s="56" t="s">
        <v>132</v>
      </c>
      <c r="F159" s="18" t="s">
        <v>22</v>
      </c>
      <c r="G159" s="32">
        <v>12</v>
      </c>
      <c r="H159" s="55"/>
      <c r="I159" s="55">
        <f>'[4]центральная зона'!$DD$47</f>
        <v>192933.54</v>
      </c>
      <c r="J159" s="15">
        <v>12</v>
      </c>
      <c r="K159" s="15">
        <f t="shared" si="2"/>
        <v>192933.54</v>
      </c>
      <c r="L159" s="15"/>
      <c r="M159" s="15"/>
      <c r="N159" s="15"/>
      <c r="O159" s="15"/>
      <c r="P159" s="15"/>
      <c r="Q159" s="15"/>
      <c r="R159" s="16"/>
      <c r="S159" s="3"/>
      <c r="T159" s="3"/>
      <c r="U159" s="3"/>
      <c r="V159" s="3"/>
      <c r="W159" s="3"/>
      <c r="X159" s="3"/>
      <c r="Y159" s="3"/>
    </row>
    <row r="160" spans="1:25" ht="15.75" customHeight="1" x14ac:dyDescent="0.25">
      <c r="A160" s="9"/>
      <c r="B160" s="10"/>
      <c r="C160" s="48"/>
      <c r="D160" s="49">
        <v>16.16</v>
      </c>
      <c r="E160" s="56" t="s">
        <v>124</v>
      </c>
      <c r="F160" s="18" t="s">
        <v>22</v>
      </c>
      <c r="G160" s="32">
        <v>12</v>
      </c>
      <c r="H160" s="55"/>
      <c r="I160" s="55">
        <f>[4]города!$BX$47</f>
        <v>89362.02</v>
      </c>
      <c r="J160" s="15">
        <v>12</v>
      </c>
      <c r="K160" s="15">
        <f t="shared" si="2"/>
        <v>89362.02</v>
      </c>
      <c r="L160" s="15"/>
      <c r="M160" s="15"/>
      <c r="N160" s="15"/>
      <c r="O160" s="15"/>
      <c r="P160" s="15"/>
      <c r="Q160" s="15"/>
      <c r="R160" s="16"/>
      <c r="S160" s="3"/>
      <c r="T160" s="3"/>
      <c r="U160" s="3"/>
      <c r="V160" s="3"/>
      <c r="W160" s="3"/>
      <c r="X160" s="3"/>
      <c r="Y160" s="3"/>
    </row>
    <row r="161" spans="1:25" ht="15.75" customHeight="1" x14ac:dyDescent="0.25">
      <c r="A161" s="9"/>
      <c r="B161" s="10"/>
      <c r="C161" s="48"/>
      <c r="D161" s="49">
        <v>16.170000000000002</v>
      </c>
      <c r="E161" s="56" t="s">
        <v>125</v>
      </c>
      <c r="F161" s="18" t="s">
        <v>22</v>
      </c>
      <c r="G161" s="32">
        <v>12</v>
      </c>
      <c r="H161" s="55"/>
      <c r="I161" s="55">
        <f>'[4]центральная зона'!$EZ$47</f>
        <v>221945.46839999998</v>
      </c>
      <c r="J161" s="15">
        <v>12</v>
      </c>
      <c r="K161" s="15">
        <f t="shared" si="2"/>
        <v>221945.46839999998</v>
      </c>
      <c r="L161" s="15"/>
      <c r="M161" s="15"/>
      <c r="N161" s="15"/>
      <c r="O161" s="15"/>
      <c r="P161" s="15"/>
      <c r="Q161" s="15"/>
      <c r="R161" s="16"/>
      <c r="S161" s="3"/>
      <c r="T161" s="3"/>
      <c r="U161" s="3"/>
      <c r="V161" s="3"/>
      <c r="W161" s="3"/>
      <c r="X161" s="3"/>
      <c r="Y161" s="3"/>
    </row>
    <row r="162" spans="1:25" ht="15.75" customHeight="1" x14ac:dyDescent="0.25">
      <c r="A162" s="9"/>
      <c r="B162" s="10"/>
      <c r="C162" s="48"/>
      <c r="D162" s="49">
        <v>16.18</v>
      </c>
      <c r="E162" s="56" t="s">
        <v>133</v>
      </c>
      <c r="F162" s="18" t="s">
        <v>22</v>
      </c>
      <c r="G162" s="32">
        <v>12</v>
      </c>
      <c r="H162" s="55"/>
      <c r="I162" s="55">
        <f>'[4]центральная зона'!$GF$47</f>
        <v>345675.21</v>
      </c>
      <c r="J162" s="15">
        <v>12</v>
      </c>
      <c r="K162" s="15">
        <f t="shared" si="2"/>
        <v>345675.21</v>
      </c>
      <c r="L162" s="15"/>
      <c r="M162" s="15"/>
      <c r="N162" s="15"/>
      <c r="O162" s="15"/>
      <c r="P162" s="15"/>
      <c r="Q162" s="15"/>
      <c r="R162" s="16"/>
      <c r="S162" s="3"/>
      <c r="T162" s="3"/>
      <c r="U162" s="3"/>
      <c r="V162" s="3"/>
      <c r="W162" s="3"/>
      <c r="X162" s="3"/>
      <c r="Y162" s="3"/>
    </row>
    <row r="163" spans="1:25" ht="15.75" customHeight="1" x14ac:dyDescent="0.25">
      <c r="A163" s="9"/>
      <c r="B163" s="10"/>
      <c r="C163" s="48"/>
      <c r="D163" s="49">
        <v>16.190000000000001</v>
      </c>
      <c r="E163" s="56" t="s">
        <v>126</v>
      </c>
      <c r="F163" s="18" t="s">
        <v>22</v>
      </c>
      <c r="G163" s="32">
        <v>12</v>
      </c>
      <c r="H163" s="55"/>
      <c r="I163" s="55">
        <f>[4]ЦА!$DH$47+[4]ЦА!$DY$47+[4]города!$DF$47</f>
        <v>547814.87562185014</v>
      </c>
      <c r="J163" s="15">
        <v>12</v>
      </c>
      <c r="K163" s="15">
        <f t="shared" si="2"/>
        <v>547814.87562185014</v>
      </c>
      <c r="L163" s="15"/>
      <c r="M163" s="15"/>
      <c r="N163" s="15"/>
      <c r="O163" s="15"/>
      <c r="P163" s="15"/>
      <c r="Q163" s="15"/>
      <c r="R163" s="16"/>
      <c r="S163" s="3"/>
      <c r="T163" s="3"/>
      <c r="U163" s="3"/>
      <c r="V163" s="3"/>
      <c r="W163" s="3"/>
      <c r="X163" s="3"/>
      <c r="Y163" s="3"/>
    </row>
    <row r="164" spans="1:25" ht="15.75" customHeight="1" x14ac:dyDescent="0.25">
      <c r="A164" s="9"/>
      <c r="B164" s="10"/>
      <c r="C164" s="48"/>
      <c r="D164" s="49"/>
      <c r="E164" s="56"/>
      <c r="F164" s="54"/>
      <c r="G164" s="55"/>
      <c r="H164" s="55"/>
      <c r="I164" s="52">
        <f>SUM(I145:I163)</f>
        <v>2993164.2867065961</v>
      </c>
      <c r="J164" s="15"/>
      <c r="K164" s="52">
        <f>SUM(K145:K163)</f>
        <v>2993164.2867065961</v>
      </c>
      <c r="L164" s="15"/>
      <c r="M164" s="52"/>
      <c r="N164" s="15"/>
      <c r="O164" s="52"/>
      <c r="P164" s="15"/>
      <c r="Q164" s="52"/>
      <c r="R164" s="16"/>
      <c r="S164" s="3"/>
      <c r="T164" s="3"/>
      <c r="U164" s="3"/>
      <c r="V164" s="3"/>
      <c r="W164" s="3"/>
      <c r="X164" s="3"/>
      <c r="Y164" s="3"/>
    </row>
    <row r="165" spans="1:25" ht="15.75" customHeight="1" x14ac:dyDescent="0.25">
      <c r="A165" s="9"/>
      <c r="B165" s="10"/>
      <c r="C165" s="48"/>
      <c r="D165" s="49">
        <v>17</v>
      </c>
      <c r="E165" s="53" t="s">
        <v>134</v>
      </c>
      <c r="F165" s="54"/>
      <c r="G165" s="55"/>
      <c r="H165" s="55"/>
      <c r="I165" s="55"/>
      <c r="J165" s="15"/>
      <c r="K165" s="15"/>
      <c r="L165" s="15"/>
      <c r="M165" s="15"/>
      <c r="N165" s="15"/>
      <c r="O165" s="15"/>
      <c r="P165" s="15"/>
      <c r="Q165" s="15"/>
      <c r="R165" s="16"/>
      <c r="S165" s="3"/>
      <c r="T165" s="3"/>
      <c r="U165" s="3"/>
      <c r="V165" s="3"/>
      <c r="W165" s="3"/>
      <c r="X165" s="3"/>
      <c r="Y165" s="3"/>
    </row>
    <row r="166" spans="1:25" ht="15.75" customHeight="1" x14ac:dyDescent="0.25">
      <c r="A166" s="9"/>
      <c r="B166" s="10"/>
      <c r="C166" s="48"/>
      <c r="D166" s="49">
        <v>17.100000000000001</v>
      </c>
      <c r="E166" s="30" t="s">
        <v>114</v>
      </c>
      <c r="F166" s="18" t="s">
        <v>22</v>
      </c>
      <c r="G166" s="32">
        <v>12</v>
      </c>
      <c r="H166" s="55"/>
      <c r="I166" s="55">
        <f>[4]города!$AR$48</f>
        <v>14913.15</v>
      </c>
      <c r="J166" s="15">
        <f>G166</f>
        <v>12</v>
      </c>
      <c r="K166" s="15">
        <f>I166</f>
        <v>14913.15</v>
      </c>
      <c r="L166" s="15"/>
      <c r="M166" s="15"/>
      <c r="N166" s="15"/>
      <c r="O166" s="15"/>
      <c r="P166" s="15"/>
      <c r="Q166" s="15"/>
      <c r="R166" s="16"/>
      <c r="S166" s="3"/>
      <c r="T166" s="3"/>
      <c r="U166" s="3"/>
      <c r="V166" s="3"/>
      <c r="W166" s="3"/>
      <c r="X166" s="3"/>
      <c r="Y166" s="3"/>
    </row>
    <row r="167" spans="1:25" ht="15.75" customHeight="1" x14ac:dyDescent="0.25">
      <c r="A167" s="9"/>
      <c r="B167" s="10"/>
      <c r="C167" s="48"/>
      <c r="D167" s="49">
        <v>17.2</v>
      </c>
      <c r="E167" s="56" t="s">
        <v>128</v>
      </c>
      <c r="F167" s="18" t="s">
        <v>22</v>
      </c>
      <c r="G167" s="32">
        <v>12</v>
      </c>
      <c r="H167" s="55"/>
      <c r="I167" s="55">
        <f>[4]вил!$AB$48</f>
        <v>36643.199999999997</v>
      </c>
      <c r="J167" s="15">
        <f t="shared" ref="J167:J173" si="3">G167</f>
        <v>12</v>
      </c>
      <c r="K167" s="15">
        <f t="shared" ref="K167:K172" si="4">I167</f>
        <v>36643.199999999997</v>
      </c>
      <c r="L167" s="15"/>
      <c r="M167" s="15"/>
      <c r="N167" s="15"/>
      <c r="O167" s="15"/>
      <c r="P167" s="15"/>
      <c r="Q167" s="15"/>
      <c r="R167" s="16"/>
      <c r="S167" s="3"/>
      <c r="T167" s="3"/>
      <c r="U167" s="3"/>
      <c r="V167" s="3"/>
      <c r="W167" s="3"/>
      <c r="X167" s="3"/>
      <c r="Y167" s="3"/>
    </row>
    <row r="168" spans="1:25" ht="15.75" customHeight="1" x14ac:dyDescent="0.25">
      <c r="A168" s="9"/>
      <c r="B168" s="10"/>
      <c r="C168" s="48"/>
      <c r="D168" s="49">
        <v>17.3</v>
      </c>
      <c r="E168" s="56" t="s">
        <v>120</v>
      </c>
      <c r="F168" s="18" t="s">
        <v>22</v>
      </c>
      <c r="G168" s="32">
        <v>12</v>
      </c>
      <c r="H168" s="55"/>
      <c r="I168" s="55">
        <f>'[4]центральная зона'!$BH$48</f>
        <v>5094.6720000000005</v>
      </c>
      <c r="J168" s="15">
        <f t="shared" si="3"/>
        <v>12</v>
      </c>
      <c r="K168" s="15">
        <f t="shared" si="4"/>
        <v>5094.6720000000005</v>
      </c>
      <c r="L168" s="15"/>
      <c r="M168" s="15"/>
      <c r="N168" s="15"/>
      <c r="O168" s="15"/>
      <c r="P168" s="15"/>
      <c r="Q168" s="15"/>
      <c r="R168" s="16"/>
      <c r="S168" s="3"/>
      <c r="T168" s="3"/>
      <c r="U168" s="3"/>
      <c r="V168" s="3"/>
      <c r="W168" s="3"/>
      <c r="X168" s="3"/>
      <c r="Y168" s="3"/>
    </row>
    <row r="169" spans="1:25" ht="15.75" customHeight="1" x14ac:dyDescent="0.25">
      <c r="A169" s="9"/>
      <c r="B169" s="10"/>
      <c r="C169" s="48"/>
      <c r="D169" s="49">
        <v>17.5</v>
      </c>
      <c r="E169" s="56" t="s">
        <v>121</v>
      </c>
      <c r="F169" s="18" t="s">
        <v>22</v>
      </c>
      <c r="G169" s="32">
        <v>12</v>
      </c>
      <c r="H169" s="55"/>
      <c r="I169" s="55">
        <f>[4]города!$BH$48</f>
        <v>164738.08319999999</v>
      </c>
      <c r="J169" s="15">
        <f t="shared" si="3"/>
        <v>12</v>
      </c>
      <c r="K169" s="15">
        <f t="shared" si="4"/>
        <v>164738.08319999999</v>
      </c>
      <c r="L169" s="15"/>
      <c r="M169" s="15"/>
      <c r="N169" s="15"/>
      <c r="O169" s="15"/>
      <c r="P169" s="15"/>
      <c r="Q169" s="15"/>
      <c r="R169" s="16"/>
      <c r="S169" s="3"/>
      <c r="T169" s="3"/>
      <c r="U169" s="3"/>
      <c r="V169" s="3"/>
      <c r="W169" s="3"/>
      <c r="X169" s="3"/>
      <c r="Y169" s="3"/>
    </row>
    <row r="170" spans="1:25" ht="15.75" customHeight="1" x14ac:dyDescent="0.25">
      <c r="A170" s="9"/>
      <c r="B170" s="10"/>
      <c r="C170" s="48"/>
      <c r="D170" s="49">
        <v>17.600000000000001</v>
      </c>
      <c r="E170" s="56" t="s">
        <v>122</v>
      </c>
      <c r="F170" s="18" t="s">
        <v>22</v>
      </c>
      <c r="G170" s="32">
        <v>12</v>
      </c>
      <c r="H170" s="55"/>
      <c r="I170" s="55">
        <f>[4]города!$CN$48</f>
        <v>59619.01</v>
      </c>
      <c r="J170" s="15">
        <f t="shared" si="3"/>
        <v>12</v>
      </c>
      <c r="K170" s="15">
        <f t="shared" si="4"/>
        <v>59619.01</v>
      </c>
      <c r="L170" s="15"/>
      <c r="M170" s="15"/>
      <c r="N170" s="15"/>
      <c r="O170" s="15"/>
      <c r="P170" s="15"/>
      <c r="Q170" s="15"/>
      <c r="R170" s="16"/>
      <c r="S170" s="3"/>
      <c r="T170" s="3"/>
      <c r="U170" s="3"/>
      <c r="V170" s="3"/>
      <c r="W170" s="3"/>
      <c r="X170" s="3"/>
      <c r="Y170" s="3"/>
    </row>
    <row r="171" spans="1:25" ht="15.75" customHeight="1" x14ac:dyDescent="0.25">
      <c r="A171" s="9"/>
      <c r="B171" s="10"/>
      <c r="C171" s="48"/>
      <c r="D171" s="49">
        <v>17.7</v>
      </c>
      <c r="E171" s="56" t="s">
        <v>123</v>
      </c>
      <c r="F171" s="18" t="s">
        <v>22</v>
      </c>
      <c r="G171" s="32">
        <v>12</v>
      </c>
      <c r="H171" s="55"/>
      <c r="I171" s="55">
        <f>[4]арктика!$EZ$48</f>
        <v>42.511099999999999</v>
      </c>
      <c r="J171" s="15">
        <f t="shared" si="3"/>
        <v>12</v>
      </c>
      <c r="K171" s="15">
        <f t="shared" si="4"/>
        <v>42.511099999999999</v>
      </c>
      <c r="L171" s="15"/>
      <c r="M171" s="15"/>
      <c r="N171" s="15"/>
      <c r="O171" s="15"/>
      <c r="P171" s="15"/>
      <c r="Q171" s="15"/>
      <c r="R171" s="16"/>
      <c r="S171" s="3"/>
      <c r="T171" s="3"/>
      <c r="U171" s="3"/>
      <c r="V171" s="3"/>
      <c r="W171" s="3"/>
      <c r="X171" s="3"/>
      <c r="Y171" s="3"/>
    </row>
    <row r="172" spans="1:25" ht="15.75" customHeight="1" x14ac:dyDescent="0.25">
      <c r="A172" s="9"/>
      <c r="B172" s="10"/>
      <c r="C172" s="48"/>
      <c r="D172" s="49">
        <v>17.8</v>
      </c>
      <c r="E172" s="56" t="s">
        <v>124</v>
      </c>
      <c r="F172" s="18" t="s">
        <v>22</v>
      </c>
      <c r="G172" s="32">
        <v>12</v>
      </c>
      <c r="H172" s="55"/>
      <c r="I172" s="55">
        <f>[4]города!$BX$48</f>
        <v>27688.188000000002</v>
      </c>
      <c r="J172" s="15">
        <f t="shared" si="3"/>
        <v>12</v>
      </c>
      <c r="K172" s="15">
        <f t="shared" si="4"/>
        <v>27688.188000000002</v>
      </c>
      <c r="L172" s="15"/>
      <c r="M172" s="15"/>
      <c r="N172" s="15"/>
      <c r="O172" s="15"/>
      <c r="P172" s="15"/>
      <c r="Q172" s="15"/>
      <c r="R172" s="16"/>
      <c r="S172" s="3"/>
      <c r="T172" s="3"/>
      <c r="U172" s="3"/>
      <c r="V172" s="3"/>
      <c r="W172" s="3"/>
      <c r="X172" s="3"/>
      <c r="Y172" s="3"/>
    </row>
    <row r="173" spans="1:25" ht="15.75" customHeight="1" x14ac:dyDescent="0.25">
      <c r="A173" s="9"/>
      <c r="B173" s="10"/>
      <c r="C173" s="48"/>
      <c r="D173" s="49">
        <v>17.899999999999999</v>
      </c>
      <c r="E173" s="56" t="s">
        <v>126</v>
      </c>
      <c r="F173" s="18" t="s">
        <v>22</v>
      </c>
      <c r="G173" s="32">
        <v>12</v>
      </c>
      <c r="H173" s="55"/>
      <c r="I173" s="55">
        <f>K173+Q173</f>
        <v>3426406</v>
      </c>
      <c r="J173" s="15">
        <f t="shared" si="3"/>
        <v>12</v>
      </c>
      <c r="K173" s="15">
        <v>1876406</v>
      </c>
      <c r="L173" s="15"/>
      <c r="M173" s="15"/>
      <c r="N173" s="15"/>
      <c r="O173" s="15"/>
      <c r="P173" s="15">
        <v>12</v>
      </c>
      <c r="Q173" s="15">
        <v>1550000</v>
      </c>
      <c r="R173" s="16"/>
      <c r="S173" s="3"/>
      <c r="T173" s="3"/>
      <c r="U173" s="3"/>
      <c r="V173" s="3"/>
      <c r="W173" s="3"/>
      <c r="X173" s="3"/>
      <c r="Y173" s="3"/>
    </row>
    <row r="174" spans="1:25" ht="14.25" customHeight="1" x14ac:dyDescent="0.25">
      <c r="A174" s="9"/>
      <c r="B174" s="10"/>
      <c r="C174" s="48"/>
      <c r="D174" s="49"/>
      <c r="E174" s="56"/>
      <c r="F174" s="54"/>
      <c r="G174" s="55"/>
      <c r="H174" s="55"/>
      <c r="I174" s="52">
        <f>SUM(I166:I173)</f>
        <v>3735144.8143000002</v>
      </c>
      <c r="J174" s="15"/>
      <c r="K174" s="52">
        <f>SUM(K166:K173)</f>
        <v>2185144.8143000002</v>
      </c>
      <c r="L174" s="15"/>
      <c r="M174" s="52"/>
      <c r="N174" s="15"/>
      <c r="O174" s="52"/>
      <c r="P174" s="15"/>
      <c r="Q174" s="52">
        <f>SUM(Q173)</f>
        <v>1550000</v>
      </c>
      <c r="R174" s="16"/>
      <c r="S174" s="3"/>
      <c r="T174" s="3"/>
      <c r="U174" s="3"/>
      <c r="V174" s="3"/>
      <c r="W174" s="3"/>
      <c r="X174" s="3"/>
      <c r="Y174" s="3"/>
    </row>
    <row r="175" spans="1:25" ht="14.25" customHeight="1" x14ac:dyDescent="0.25">
      <c r="A175" s="9"/>
      <c r="B175" s="10"/>
      <c r="C175" s="48"/>
      <c r="D175" s="49">
        <v>18</v>
      </c>
      <c r="E175" s="53" t="s">
        <v>135</v>
      </c>
      <c r="F175" s="54"/>
      <c r="G175" s="55"/>
      <c r="H175" s="55"/>
      <c r="I175" s="55"/>
      <c r="J175" s="15"/>
      <c r="K175" s="15"/>
      <c r="L175" s="15"/>
      <c r="M175" s="15"/>
      <c r="N175" s="15"/>
      <c r="O175" s="15"/>
      <c r="P175" s="15"/>
      <c r="Q175" s="15"/>
      <c r="R175" s="16"/>
      <c r="S175" s="3"/>
      <c r="T175" s="3"/>
      <c r="U175" s="3"/>
      <c r="V175" s="3"/>
      <c r="W175" s="3"/>
      <c r="X175" s="3"/>
      <c r="Y175" s="3"/>
    </row>
    <row r="176" spans="1:25" ht="15.75" customHeight="1" x14ac:dyDescent="0.25">
      <c r="A176" s="9"/>
      <c r="B176" s="10"/>
      <c r="C176" s="48"/>
      <c r="D176" s="49">
        <v>18.100000000000001</v>
      </c>
      <c r="E176" s="30" t="s">
        <v>114</v>
      </c>
      <c r="F176" s="18" t="s">
        <v>22</v>
      </c>
      <c r="G176" s="32">
        <v>12</v>
      </c>
      <c r="H176" s="55"/>
      <c r="I176" s="55">
        <f>[4]города!$AR$49</f>
        <v>17006.515800000001</v>
      </c>
      <c r="J176" s="15">
        <f>G176</f>
        <v>12</v>
      </c>
      <c r="K176" s="15">
        <f>I176</f>
        <v>17006.515800000001</v>
      </c>
      <c r="L176" s="15"/>
      <c r="M176" s="15"/>
      <c r="N176" s="15"/>
      <c r="O176" s="15"/>
      <c r="P176" s="15"/>
      <c r="Q176" s="15"/>
      <c r="R176" s="16"/>
      <c r="S176" s="3"/>
      <c r="T176" s="3"/>
      <c r="U176" s="3"/>
      <c r="V176" s="3"/>
      <c r="W176" s="3"/>
      <c r="X176" s="3"/>
      <c r="Y176" s="3"/>
    </row>
    <row r="177" spans="1:25" ht="15.75" customHeight="1" x14ac:dyDescent="0.25">
      <c r="A177" s="9"/>
      <c r="B177" s="10"/>
      <c r="C177" s="48"/>
      <c r="D177" s="49">
        <v>18.2</v>
      </c>
      <c r="E177" s="56" t="s">
        <v>115</v>
      </c>
      <c r="F177" s="18" t="s">
        <v>22</v>
      </c>
      <c r="G177" s="32">
        <v>12</v>
      </c>
      <c r="H177" s="55"/>
      <c r="I177" s="55">
        <f>[4]арктика!$L$49</f>
        <v>25250.832768</v>
      </c>
      <c r="J177" s="15">
        <f t="shared" ref="J177:J192" si="5">G177</f>
        <v>12</v>
      </c>
      <c r="K177" s="15">
        <f t="shared" ref="K177:K192" si="6">I177</f>
        <v>25250.832768</v>
      </c>
      <c r="L177" s="15"/>
      <c r="M177" s="15"/>
      <c r="N177" s="15"/>
      <c r="O177" s="15"/>
      <c r="P177" s="15"/>
      <c r="Q177" s="15"/>
      <c r="R177" s="16"/>
      <c r="S177" s="3"/>
      <c r="T177" s="3"/>
      <c r="U177" s="3"/>
      <c r="V177" s="3"/>
      <c r="W177" s="3"/>
      <c r="X177" s="3"/>
      <c r="Y177" s="3"/>
    </row>
    <row r="178" spans="1:25" ht="15.75" customHeight="1" x14ac:dyDescent="0.25">
      <c r="A178" s="9"/>
      <c r="B178" s="10"/>
      <c r="C178" s="48"/>
      <c r="D178" s="49">
        <v>18.3</v>
      </c>
      <c r="E178" s="56" t="s">
        <v>128</v>
      </c>
      <c r="F178" s="18" t="s">
        <v>22</v>
      </c>
      <c r="G178" s="32">
        <v>12</v>
      </c>
      <c r="H178" s="55"/>
      <c r="I178" s="55">
        <f>[4]вил!$AB$49</f>
        <v>8302.7032553046629</v>
      </c>
      <c r="J178" s="15">
        <f t="shared" si="5"/>
        <v>12</v>
      </c>
      <c r="K178" s="15">
        <f t="shared" si="6"/>
        <v>8302.7032553046629</v>
      </c>
      <c r="L178" s="15"/>
      <c r="M178" s="15"/>
      <c r="N178" s="15"/>
      <c r="O178" s="15"/>
      <c r="P178" s="15"/>
      <c r="Q178" s="15"/>
      <c r="R178" s="16"/>
      <c r="S178" s="3"/>
      <c r="T178" s="3"/>
      <c r="U178" s="3"/>
      <c r="V178" s="3"/>
      <c r="W178" s="3"/>
      <c r="X178" s="3"/>
      <c r="Y178" s="3"/>
    </row>
    <row r="179" spans="1:25" ht="15.75" customHeight="1" x14ac:dyDescent="0.25">
      <c r="A179" s="9"/>
      <c r="B179" s="10"/>
      <c r="C179" s="48"/>
      <c r="D179" s="49">
        <v>18.399999999999999</v>
      </c>
      <c r="E179" s="56" t="s">
        <v>118</v>
      </c>
      <c r="F179" s="18" t="s">
        <v>22</v>
      </c>
      <c r="G179" s="32">
        <v>12</v>
      </c>
      <c r="H179" s="55"/>
      <c r="I179" s="55">
        <f>[4]арктика!$DT$49</f>
        <v>7995.8532000000005</v>
      </c>
      <c r="J179" s="15">
        <f t="shared" si="5"/>
        <v>12</v>
      </c>
      <c r="K179" s="15">
        <f t="shared" si="6"/>
        <v>7995.8532000000005</v>
      </c>
      <c r="L179" s="15"/>
      <c r="M179" s="15"/>
      <c r="N179" s="15"/>
      <c r="O179" s="15"/>
      <c r="P179" s="15"/>
      <c r="Q179" s="15"/>
      <c r="R179" s="16"/>
      <c r="S179" s="3"/>
      <c r="T179" s="3"/>
      <c r="U179" s="3"/>
      <c r="V179" s="3"/>
      <c r="W179" s="3"/>
      <c r="X179" s="3"/>
      <c r="Y179" s="3"/>
    </row>
    <row r="180" spans="1:25" ht="15.75" customHeight="1" x14ac:dyDescent="0.25">
      <c r="A180" s="9"/>
      <c r="B180" s="10"/>
      <c r="C180" s="48"/>
      <c r="D180" s="49">
        <v>18.600000000000001</v>
      </c>
      <c r="E180" s="56" t="s">
        <v>119</v>
      </c>
      <c r="F180" s="18" t="s">
        <v>22</v>
      </c>
      <c r="G180" s="32">
        <v>12</v>
      </c>
      <c r="H180" s="55"/>
      <c r="I180" s="55">
        <f>[4]города!$AB$49</f>
        <v>87251.662700000001</v>
      </c>
      <c r="J180" s="15">
        <f t="shared" si="5"/>
        <v>12</v>
      </c>
      <c r="K180" s="15">
        <f t="shared" si="6"/>
        <v>87251.662700000001</v>
      </c>
      <c r="L180" s="15"/>
      <c r="M180" s="15"/>
      <c r="N180" s="15"/>
      <c r="O180" s="15"/>
      <c r="P180" s="15"/>
      <c r="Q180" s="15"/>
      <c r="R180" s="16"/>
      <c r="S180" s="3"/>
      <c r="T180" s="3"/>
      <c r="U180" s="3"/>
      <c r="V180" s="3"/>
      <c r="W180" s="3"/>
      <c r="X180" s="3"/>
      <c r="Y180" s="3"/>
    </row>
    <row r="181" spans="1:25" ht="15.75" customHeight="1" x14ac:dyDescent="0.25">
      <c r="A181" s="9"/>
      <c r="B181" s="10"/>
      <c r="C181" s="48"/>
      <c r="D181" s="49">
        <v>18.7</v>
      </c>
      <c r="E181" s="56" t="s">
        <v>120</v>
      </c>
      <c r="F181" s="18" t="s">
        <v>22</v>
      </c>
      <c r="G181" s="32">
        <v>12</v>
      </c>
      <c r="H181" s="55"/>
      <c r="I181" s="55">
        <f>'[4]центральная зона'!$BH$49</f>
        <v>58822.682900000007</v>
      </c>
      <c r="J181" s="15">
        <f t="shared" si="5"/>
        <v>12</v>
      </c>
      <c r="K181" s="15">
        <f t="shared" si="6"/>
        <v>58822.682900000007</v>
      </c>
      <c r="L181" s="15"/>
      <c r="M181" s="15"/>
      <c r="N181" s="15"/>
      <c r="O181" s="15"/>
      <c r="P181" s="15"/>
      <c r="Q181" s="15"/>
      <c r="R181" s="16"/>
      <c r="S181" s="3"/>
      <c r="T181" s="3"/>
      <c r="U181" s="3"/>
      <c r="V181" s="3"/>
      <c r="W181" s="3"/>
      <c r="X181" s="3"/>
      <c r="Y181" s="3"/>
    </row>
    <row r="182" spans="1:25" ht="15.75" customHeight="1" x14ac:dyDescent="0.25">
      <c r="A182" s="9"/>
      <c r="B182" s="10"/>
      <c r="C182" s="48"/>
      <c r="D182" s="49">
        <v>18.8</v>
      </c>
      <c r="E182" s="56" t="s">
        <v>121</v>
      </c>
      <c r="F182" s="18" t="s">
        <v>22</v>
      </c>
      <c r="G182" s="32">
        <v>12</v>
      </c>
      <c r="H182" s="55"/>
      <c r="I182" s="55">
        <f>[4]города!$BH$49</f>
        <v>50592.173999999999</v>
      </c>
      <c r="J182" s="15">
        <f t="shared" si="5"/>
        <v>12</v>
      </c>
      <c r="K182" s="15">
        <f t="shared" si="6"/>
        <v>50592.173999999999</v>
      </c>
      <c r="L182" s="15"/>
      <c r="M182" s="15"/>
      <c r="N182" s="15"/>
      <c r="O182" s="15"/>
      <c r="P182" s="15"/>
      <c r="Q182" s="15"/>
      <c r="R182" s="16"/>
      <c r="S182" s="3"/>
      <c r="T182" s="3"/>
      <c r="U182" s="3"/>
      <c r="V182" s="3"/>
      <c r="W182" s="3"/>
      <c r="X182" s="3"/>
      <c r="Y182" s="3"/>
    </row>
    <row r="183" spans="1:25" ht="15.75" customHeight="1" x14ac:dyDescent="0.25">
      <c r="A183" s="9"/>
      <c r="B183" s="10"/>
      <c r="C183" s="48"/>
      <c r="D183" s="49">
        <v>18.899999999999999</v>
      </c>
      <c r="E183" s="56" t="s">
        <v>122</v>
      </c>
      <c r="F183" s="18" t="s">
        <v>22</v>
      </c>
      <c r="G183" s="32">
        <v>12</v>
      </c>
      <c r="H183" s="55"/>
      <c r="I183" s="55">
        <f>[4]города!$CN$49</f>
        <v>64484.866100000007</v>
      </c>
      <c r="J183" s="15">
        <f t="shared" si="5"/>
        <v>12</v>
      </c>
      <c r="K183" s="15">
        <f t="shared" si="6"/>
        <v>64484.866100000007</v>
      </c>
      <c r="L183" s="15"/>
      <c r="M183" s="15"/>
      <c r="N183" s="15"/>
      <c r="O183" s="15"/>
      <c r="P183" s="15"/>
      <c r="Q183" s="15"/>
      <c r="R183" s="16"/>
      <c r="S183" s="3"/>
      <c r="T183" s="3"/>
      <c r="U183" s="3"/>
      <c r="V183" s="3"/>
      <c r="W183" s="3"/>
      <c r="X183" s="3"/>
      <c r="Y183" s="3"/>
    </row>
    <row r="184" spans="1:25" ht="15.75" customHeight="1" x14ac:dyDescent="0.25">
      <c r="A184" s="9"/>
      <c r="B184" s="10"/>
      <c r="C184" s="48"/>
      <c r="D184" s="57">
        <v>18.100000000000001</v>
      </c>
      <c r="E184" s="56" t="s">
        <v>123</v>
      </c>
      <c r="F184" s="18" t="s">
        <v>22</v>
      </c>
      <c r="G184" s="32">
        <v>12</v>
      </c>
      <c r="H184" s="55"/>
      <c r="I184" s="55">
        <f>[4]арктика!$EZ$49</f>
        <v>22384</v>
      </c>
      <c r="J184" s="15">
        <f t="shared" si="5"/>
        <v>12</v>
      </c>
      <c r="K184" s="15">
        <f t="shared" si="6"/>
        <v>22384</v>
      </c>
      <c r="L184" s="15"/>
      <c r="M184" s="15"/>
      <c r="N184" s="15"/>
      <c r="O184" s="15"/>
      <c r="P184" s="15"/>
      <c r="Q184" s="15"/>
      <c r="R184" s="16"/>
      <c r="S184" s="3"/>
      <c r="T184" s="3"/>
      <c r="U184" s="3"/>
      <c r="V184" s="3"/>
      <c r="W184" s="3"/>
      <c r="X184" s="3"/>
      <c r="Y184" s="3"/>
    </row>
    <row r="185" spans="1:25" ht="15.75" customHeight="1" x14ac:dyDescent="0.25">
      <c r="A185" s="9"/>
      <c r="B185" s="10"/>
      <c r="C185" s="48"/>
      <c r="D185" s="49">
        <v>18.11</v>
      </c>
      <c r="E185" s="56" t="s">
        <v>129</v>
      </c>
      <c r="F185" s="18" t="s">
        <v>22</v>
      </c>
      <c r="G185" s="32">
        <v>12</v>
      </c>
      <c r="H185" s="55"/>
      <c r="I185" s="55">
        <f>'[4]центральная зона'!$CN$49</f>
        <v>9414.9</v>
      </c>
      <c r="J185" s="15">
        <f t="shared" si="5"/>
        <v>12</v>
      </c>
      <c r="K185" s="15">
        <f t="shared" si="6"/>
        <v>9414.9</v>
      </c>
      <c r="L185" s="15"/>
      <c r="M185" s="15"/>
      <c r="N185" s="15"/>
      <c r="O185" s="15"/>
      <c r="P185" s="15"/>
      <c r="Q185" s="15"/>
      <c r="R185" s="16"/>
      <c r="S185" s="3"/>
      <c r="T185" s="3"/>
      <c r="U185" s="3"/>
      <c r="V185" s="3"/>
      <c r="W185" s="3"/>
      <c r="X185" s="3"/>
      <c r="Y185" s="3"/>
    </row>
    <row r="186" spans="1:25" ht="15.75" customHeight="1" x14ac:dyDescent="0.25">
      <c r="A186" s="9"/>
      <c r="B186" s="10"/>
      <c r="C186" s="48"/>
      <c r="D186" s="49">
        <v>18.12</v>
      </c>
      <c r="E186" s="56" t="s">
        <v>130</v>
      </c>
      <c r="F186" s="18" t="s">
        <v>22</v>
      </c>
      <c r="G186" s="32">
        <v>12</v>
      </c>
      <c r="H186" s="55"/>
      <c r="I186" s="55">
        <f>[4]арктика!$GF$49</f>
        <v>6487.1237000000001</v>
      </c>
      <c r="J186" s="15">
        <f t="shared" si="5"/>
        <v>12</v>
      </c>
      <c r="K186" s="15">
        <f t="shared" si="6"/>
        <v>6487.1237000000001</v>
      </c>
      <c r="L186" s="15"/>
      <c r="M186" s="15"/>
      <c r="N186" s="15"/>
      <c r="O186" s="15"/>
      <c r="P186" s="15"/>
      <c r="Q186" s="15"/>
      <c r="R186" s="16"/>
      <c r="S186" s="3"/>
      <c r="T186" s="3"/>
      <c r="U186" s="3"/>
      <c r="V186" s="3"/>
      <c r="W186" s="3"/>
      <c r="X186" s="3"/>
      <c r="Y186" s="3"/>
    </row>
    <row r="187" spans="1:25" ht="15.75" customHeight="1" x14ac:dyDescent="0.25">
      <c r="A187" s="9"/>
      <c r="B187" s="10"/>
      <c r="C187" s="48"/>
      <c r="D187" s="49">
        <v>18.13</v>
      </c>
      <c r="E187" s="56" t="s">
        <v>131</v>
      </c>
      <c r="F187" s="18" t="s">
        <v>22</v>
      </c>
      <c r="G187" s="32">
        <v>12</v>
      </c>
      <c r="H187" s="55"/>
      <c r="I187" s="55">
        <f>[4]вил!$BH$49</f>
        <v>25094.556258896388</v>
      </c>
      <c r="J187" s="15">
        <f t="shared" si="5"/>
        <v>12</v>
      </c>
      <c r="K187" s="15">
        <f t="shared" si="6"/>
        <v>25094.556258896388</v>
      </c>
      <c r="L187" s="15"/>
      <c r="M187" s="15"/>
      <c r="N187" s="15"/>
      <c r="O187" s="15"/>
      <c r="P187" s="15"/>
      <c r="Q187" s="15"/>
      <c r="R187" s="16"/>
      <c r="S187" s="3"/>
      <c r="T187" s="3"/>
      <c r="U187" s="3"/>
      <c r="V187" s="3"/>
      <c r="W187" s="3"/>
      <c r="X187" s="3"/>
      <c r="Y187" s="3"/>
    </row>
    <row r="188" spans="1:25" ht="15.75" customHeight="1" x14ac:dyDescent="0.25">
      <c r="A188" s="9"/>
      <c r="B188" s="10"/>
      <c r="C188" s="48"/>
      <c r="D188" s="49">
        <v>18.14</v>
      </c>
      <c r="E188" s="56" t="s">
        <v>132</v>
      </c>
      <c r="F188" s="18" t="s">
        <v>22</v>
      </c>
      <c r="G188" s="32">
        <v>12</v>
      </c>
      <c r="H188" s="55"/>
      <c r="I188" s="55">
        <f>'[4]центральная зона'!$DD$49</f>
        <v>11450.4766</v>
      </c>
      <c r="J188" s="15">
        <f t="shared" si="5"/>
        <v>12</v>
      </c>
      <c r="K188" s="15">
        <f t="shared" si="6"/>
        <v>11450.4766</v>
      </c>
      <c r="L188" s="15"/>
      <c r="M188" s="15"/>
      <c r="N188" s="15"/>
      <c r="O188" s="15"/>
      <c r="P188" s="15"/>
      <c r="Q188" s="15"/>
      <c r="R188" s="16"/>
      <c r="S188" s="3"/>
      <c r="T188" s="3"/>
      <c r="U188" s="3"/>
      <c r="V188" s="3"/>
      <c r="W188" s="3"/>
      <c r="X188" s="3"/>
      <c r="Y188" s="3"/>
    </row>
    <row r="189" spans="1:25" ht="15.75" customHeight="1" x14ac:dyDescent="0.25">
      <c r="A189" s="9"/>
      <c r="B189" s="10"/>
      <c r="C189" s="48"/>
      <c r="D189" s="49">
        <v>18.149999999999999</v>
      </c>
      <c r="E189" s="56" t="s">
        <v>125</v>
      </c>
      <c r="F189" s="18" t="s">
        <v>22</v>
      </c>
      <c r="G189" s="32">
        <v>12</v>
      </c>
      <c r="H189" s="55"/>
      <c r="I189" s="55">
        <f>'[4]центральная зона'!$EZ$49</f>
        <v>20099.027999999998</v>
      </c>
      <c r="J189" s="15">
        <f t="shared" si="5"/>
        <v>12</v>
      </c>
      <c r="K189" s="15">
        <f t="shared" si="6"/>
        <v>20099.027999999998</v>
      </c>
      <c r="L189" s="15"/>
      <c r="M189" s="15"/>
      <c r="N189" s="15"/>
      <c r="O189" s="15"/>
      <c r="P189" s="15"/>
      <c r="Q189" s="15"/>
      <c r="R189" s="16"/>
      <c r="S189" s="3"/>
      <c r="T189" s="3"/>
      <c r="U189" s="3"/>
      <c r="V189" s="3"/>
      <c r="W189" s="3"/>
      <c r="X189" s="3"/>
      <c r="Y189" s="3"/>
    </row>
    <row r="190" spans="1:25" ht="15.75" customHeight="1" x14ac:dyDescent="0.25">
      <c r="A190" s="9"/>
      <c r="B190" s="10"/>
      <c r="C190" s="48"/>
      <c r="D190" s="49">
        <v>18.16</v>
      </c>
      <c r="E190" s="56" t="s">
        <v>124</v>
      </c>
      <c r="F190" s="18" t="s">
        <v>22</v>
      </c>
      <c r="G190" s="32">
        <v>12</v>
      </c>
      <c r="H190" s="55"/>
      <c r="I190" s="55">
        <f>[4]города!$BX$49</f>
        <v>12269.264999999999</v>
      </c>
      <c r="J190" s="15">
        <f t="shared" si="5"/>
        <v>12</v>
      </c>
      <c r="K190" s="15">
        <f t="shared" si="6"/>
        <v>12269.264999999999</v>
      </c>
      <c r="L190" s="15"/>
      <c r="M190" s="15"/>
      <c r="N190" s="15"/>
      <c r="O190" s="15"/>
      <c r="P190" s="15"/>
      <c r="Q190" s="15"/>
      <c r="R190" s="16"/>
      <c r="S190" s="3"/>
      <c r="T190" s="3"/>
      <c r="U190" s="3"/>
      <c r="V190" s="3"/>
      <c r="W190" s="3"/>
      <c r="X190" s="3"/>
      <c r="Y190" s="3"/>
    </row>
    <row r="191" spans="1:25" ht="15.75" customHeight="1" x14ac:dyDescent="0.25">
      <c r="A191" s="9"/>
      <c r="B191" s="10"/>
      <c r="C191" s="48"/>
      <c r="D191" s="49">
        <v>18.170000000000002</v>
      </c>
      <c r="E191" s="56" t="s">
        <v>133</v>
      </c>
      <c r="F191" s="18" t="s">
        <v>22</v>
      </c>
      <c r="G191" s="32">
        <v>12</v>
      </c>
      <c r="H191" s="55"/>
      <c r="I191" s="55">
        <f>'[4]центральная зона'!$GF$49</f>
        <v>14605.609400000001</v>
      </c>
      <c r="J191" s="15">
        <f t="shared" si="5"/>
        <v>12</v>
      </c>
      <c r="K191" s="15">
        <f t="shared" si="6"/>
        <v>14605.609400000001</v>
      </c>
      <c r="L191" s="15"/>
      <c r="M191" s="15"/>
      <c r="N191" s="15"/>
      <c r="O191" s="15"/>
      <c r="P191" s="15"/>
      <c r="Q191" s="15"/>
      <c r="R191" s="16"/>
      <c r="S191" s="3"/>
      <c r="T191" s="3"/>
      <c r="U191" s="3"/>
      <c r="V191" s="3"/>
      <c r="W191" s="3"/>
      <c r="X191" s="3"/>
      <c r="Y191" s="3"/>
    </row>
    <row r="192" spans="1:25" ht="15.75" customHeight="1" x14ac:dyDescent="0.25">
      <c r="A192" s="9"/>
      <c r="B192" s="10"/>
      <c r="C192" s="48"/>
      <c r="D192" s="49">
        <v>18.18</v>
      </c>
      <c r="E192" s="56" t="s">
        <v>126</v>
      </c>
      <c r="F192" s="18" t="s">
        <v>22</v>
      </c>
      <c r="G192" s="32">
        <v>12</v>
      </c>
      <c r="H192" s="55"/>
      <c r="I192" s="55">
        <f>[4]ЦА!$DH$49+[4]ЦА!$DY$49+[4]города!$DF$49</f>
        <v>1146006.6355674234</v>
      </c>
      <c r="J192" s="15">
        <f t="shared" si="5"/>
        <v>12</v>
      </c>
      <c r="K192" s="15">
        <f t="shared" si="6"/>
        <v>1146006.6355674234</v>
      </c>
      <c r="L192" s="15"/>
      <c r="M192" s="15"/>
      <c r="N192" s="15"/>
      <c r="O192" s="15"/>
      <c r="P192" s="15"/>
      <c r="Q192" s="15"/>
      <c r="R192" s="16"/>
      <c r="S192" s="3"/>
      <c r="T192" s="3"/>
      <c r="U192" s="3"/>
      <c r="V192" s="3"/>
      <c r="W192" s="3"/>
      <c r="X192" s="3"/>
      <c r="Y192" s="3"/>
    </row>
    <row r="193" spans="1:25" ht="15.75" customHeight="1" x14ac:dyDescent="0.25">
      <c r="A193" s="9"/>
      <c r="B193" s="10"/>
      <c r="C193" s="48"/>
      <c r="D193" s="49"/>
      <c r="E193" s="56"/>
      <c r="F193" s="54"/>
      <c r="G193" s="55"/>
      <c r="H193" s="55"/>
      <c r="I193" s="52">
        <f>SUM(I176:I192)</f>
        <v>1587518.8852496245</v>
      </c>
      <c r="J193" s="15"/>
      <c r="K193" s="52">
        <f>SUM(K176:K192)</f>
        <v>1587518.8852496245</v>
      </c>
      <c r="L193" s="15"/>
      <c r="M193" s="52"/>
      <c r="N193" s="15"/>
      <c r="O193" s="52"/>
      <c r="P193" s="15"/>
      <c r="Q193" s="52"/>
      <c r="R193" s="16"/>
      <c r="S193" s="3"/>
      <c r="T193" s="3"/>
      <c r="U193" s="3"/>
      <c r="V193" s="3"/>
      <c r="W193" s="3"/>
      <c r="X193" s="3"/>
      <c r="Y193" s="3"/>
    </row>
    <row r="194" spans="1:25" ht="17.25" customHeight="1" x14ac:dyDescent="0.25">
      <c r="A194" s="9"/>
      <c r="B194" s="36"/>
      <c r="C194" s="10"/>
      <c r="D194" s="11">
        <v>19</v>
      </c>
      <c r="E194" s="29" t="s">
        <v>136</v>
      </c>
      <c r="F194" s="60"/>
      <c r="G194" s="61"/>
      <c r="H194" s="61"/>
      <c r="I194" s="61"/>
      <c r="J194" s="15"/>
      <c r="K194" s="15"/>
      <c r="L194" s="15"/>
      <c r="M194" s="15"/>
      <c r="N194" s="15"/>
      <c r="O194" s="15"/>
      <c r="P194" s="15"/>
      <c r="Q194" s="15"/>
      <c r="R194" s="16"/>
      <c r="S194" s="3"/>
      <c r="T194" s="3"/>
      <c r="U194" s="3"/>
      <c r="V194" s="3"/>
      <c r="W194" s="3"/>
      <c r="X194" s="3"/>
      <c r="Y194" s="3"/>
    </row>
    <row r="195" spans="1:25" ht="17.25" customHeight="1" x14ac:dyDescent="0.25">
      <c r="A195" s="9"/>
      <c r="B195" s="36"/>
      <c r="C195" s="10"/>
      <c r="D195" s="11">
        <v>19.100000000000001</v>
      </c>
      <c r="E195" s="17" t="s">
        <v>137</v>
      </c>
      <c r="F195" s="18" t="s">
        <v>17</v>
      </c>
      <c r="G195" s="15">
        <v>1</v>
      </c>
      <c r="H195" s="15"/>
      <c r="I195" s="15">
        <v>7950</v>
      </c>
      <c r="J195" s="15">
        <v>1</v>
      </c>
      <c r="K195" s="15">
        <v>7950</v>
      </c>
      <c r="L195" s="15"/>
      <c r="M195" s="15"/>
      <c r="N195" s="15"/>
      <c r="O195" s="15"/>
      <c r="P195" s="15"/>
      <c r="Q195" s="15"/>
      <c r="R195" s="16"/>
      <c r="S195" s="3"/>
      <c r="T195" s="3"/>
      <c r="U195" s="3"/>
      <c r="V195" s="3"/>
      <c r="W195" s="3"/>
      <c r="X195" s="3"/>
      <c r="Y195" s="3"/>
    </row>
    <row r="196" spans="1:25" ht="17.25" customHeight="1" x14ac:dyDescent="0.25">
      <c r="A196" s="9"/>
      <c r="B196" s="36"/>
      <c r="C196" s="10"/>
      <c r="D196" s="11">
        <v>19.2</v>
      </c>
      <c r="E196" s="17" t="s">
        <v>138</v>
      </c>
      <c r="F196" s="18" t="s">
        <v>17</v>
      </c>
      <c r="G196" s="15">
        <v>1</v>
      </c>
      <c r="H196" s="15"/>
      <c r="I196" s="15">
        <v>14301</v>
      </c>
      <c r="J196" s="15">
        <v>1</v>
      </c>
      <c r="K196" s="15">
        <v>14301</v>
      </c>
      <c r="L196" s="15"/>
      <c r="M196" s="15"/>
      <c r="N196" s="15"/>
      <c r="O196" s="15"/>
      <c r="P196" s="15"/>
      <c r="Q196" s="15"/>
      <c r="R196" s="16"/>
      <c r="S196" s="3"/>
      <c r="T196" s="3"/>
      <c r="U196" s="3"/>
      <c r="V196" s="3"/>
      <c r="W196" s="3"/>
      <c r="X196" s="3"/>
      <c r="Y196" s="3"/>
    </row>
    <row r="197" spans="1:25" ht="17.25" customHeight="1" x14ac:dyDescent="0.25">
      <c r="A197" s="9"/>
      <c r="B197" s="36"/>
      <c r="C197" s="10"/>
      <c r="D197" s="11">
        <v>19.3</v>
      </c>
      <c r="E197" s="17" t="s">
        <v>139</v>
      </c>
      <c r="F197" s="18" t="s">
        <v>17</v>
      </c>
      <c r="G197" s="15">
        <v>1</v>
      </c>
      <c r="H197" s="15"/>
      <c r="I197" s="15">
        <v>41300</v>
      </c>
      <c r="J197" s="15">
        <v>1</v>
      </c>
      <c r="K197" s="15">
        <v>41300</v>
      </c>
      <c r="L197" s="15"/>
      <c r="M197" s="15"/>
      <c r="N197" s="15"/>
      <c r="O197" s="15"/>
      <c r="P197" s="15"/>
      <c r="Q197" s="15"/>
      <c r="R197" s="16"/>
      <c r="S197" s="3"/>
      <c r="T197" s="3"/>
      <c r="U197" s="3"/>
      <c r="V197" s="3"/>
      <c r="W197" s="3"/>
      <c r="X197" s="3"/>
      <c r="Y197" s="3"/>
    </row>
    <row r="198" spans="1:25" ht="17.25" customHeight="1" x14ac:dyDescent="0.25">
      <c r="A198" s="9"/>
      <c r="B198" s="36"/>
      <c r="C198" s="10"/>
      <c r="D198" s="11">
        <v>19.399999999999999</v>
      </c>
      <c r="E198" s="17" t="s">
        <v>140</v>
      </c>
      <c r="F198" s="18" t="s">
        <v>17</v>
      </c>
      <c r="G198" s="15">
        <v>1</v>
      </c>
      <c r="H198" s="15"/>
      <c r="I198" s="15">
        <v>54280</v>
      </c>
      <c r="J198" s="15">
        <v>1</v>
      </c>
      <c r="K198" s="15">
        <v>54280</v>
      </c>
      <c r="L198" s="15"/>
      <c r="M198" s="15"/>
      <c r="N198" s="15"/>
      <c r="O198" s="15"/>
      <c r="P198" s="15"/>
      <c r="Q198" s="15"/>
      <c r="R198" s="16"/>
      <c r="S198" s="3"/>
      <c r="T198" s="3"/>
      <c r="U198" s="3"/>
      <c r="V198" s="3"/>
      <c r="W198" s="3"/>
      <c r="X198" s="3"/>
      <c r="Y198" s="3"/>
    </row>
    <row r="199" spans="1:25" ht="17.25" customHeight="1" x14ac:dyDescent="0.25">
      <c r="A199" s="9"/>
      <c r="B199" s="36"/>
      <c r="C199" s="10"/>
      <c r="D199" s="11">
        <v>19.5</v>
      </c>
      <c r="E199" s="17" t="s">
        <v>141</v>
      </c>
      <c r="F199" s="18" t="s">
        <v>17</v>
      </c>
      <c r="G199" s="15">
        <v>1</v>
      </c>
      <c r="H199" s="15"/>
      <c r="I199" s="15">
        <v>138060</v>
      </c>
      <c r="J199" s="15">
        <v>1</v>
      </c>
      <c r="K199" s="15">
        <v>138060</v>
      </c>
      <c r="L199" s="15"/>
      <c r="M199" s="15"/>
      <c r="N199" s="15"/>
      <c r="O199" s="15"/>
      <c r="P199" s="15"/>
      <c r="Q199" s="15"/>
      <c r="R199" s="16"/>
      <c r="S199" s="3"/>
      <c r="T199" s="3"/>
      <c r="U199" s="3"/>
      <c r="V199" s="3"/>
      <c r="W199" s="3"/>
      <c r="X199" s="3"/>
      <c r="Y199" s="3"/>
    </row>
    <row r="200" spans="1:25" ht="17.25" customHeight="1" x14ac:dyDescent="0.25">
      <c r="A200" s="9"/>
      <c r="B200" s="36"/>
      <c r="C200" s="10"/>
      <c r="D200" s="11">
        <v>19.600000000000001</v>
      </c>
      <c r="E200" s="17" t="s">
        <v>142</v>
      </c>
      <c r="F200" s="18" t="s">
        <v>17</v>
      </c>
      <c r="G200" s="15">
        <v>1</v>
      </c>
      <c r="H200" s="15"/>
      <c r="I200" s="15">
        <f>178770+4500+32500</f>
        <v>215770</v>
      </c>
      <c r="J200" s="15">
        <v>1</v>
      </c>
      <c r="K200" s="15">
        <f>178770+4500+32500</f>
        <v>215770</v>
      </c>
      <c r="L200" s="15"/>
      <c r="M200" s="15"/>
      <c r="N200" s="15"/>
      <c r="O200" s="15"/>
      <c r="P200" s="15"/>
      <c r="Q200" s="15"/>
      <c r="R200" s="16"/>
      <c r="S200" s="3"/>
      <c r="T200" s="3"/>
      <c r="U200" s="3"/>
      <c r="V200" s="3"/>
      <c r="W200" s="3"/>
      <c r="X200" s="3"/>
      <c r="Y200" s="3"/>
    </row>
    <row r="201" spans="1:25" ht="17.25" customHeight="1" x14ac:dyDescent="0.25">
      <c r="A201" s="9"/>
      <c r="B201" s="36"/>
      <c r="C201" s="10"/>
      <c r="D201" s="11">
        <v>19.7</v>
      </c>
      <c r="E201" s="17" t="s">
        <v>143</v>
      </c>
      <c r="F201" s="18" t="s">
        <v>17</v>
      </c>
      <c r="G201" s="15">
        <v>1</v>
      </c>
      <c r="H201" s="15"/>
      <c r="I201" s="15">
        <f>51470+4800+3600+1300</f>
        <v>61170</v>
      </c>
      <c r="J201" s="15">
        <v>1</v>
      </c>
      <c r="K201" s="15">
        <f>51470+4800+3600+1300</f>
        <v>61170</v>
      </c>
      <c r="L201" s="15"/>
      <c r="M201" s="15"/>
      <c r="N201" s="15"/>
      <c r="O201" s="15"/>
      <c r="P201" s="15"/>
      <c r="Q201" s="15"/>
      <c r="R201" s="16"/>
      <c r="S201" s="3"/>
      <c r="T201" s="3"/>
      <c r="U201" s="3"/>
      <c r="V201" s="3"/>
      <c r="W201" s="3"/>
      <c r="X201" s="3"/>
      <c r="Y201" s="3"/>
    </row>
    <row r="202" spans="1:25" ht="17.25" customHeight="1" x14ac:dyDescent="0.25">
      <c r="A202" s="9"/>
      <c r="B202" s="36"/>
      <c r="C202" s="10"/>
      <c r="D202" s="11">
        <v>19.8</v>
      </c>
      <c r="E202" s="17" t="s">
        <v>144</v>
      </c>
      <c r="F202" s="18" t="s">
        <v>17</v>
      </c>
      <c r="G202" s="15">
        <v>1</v>
      </c>
      <c r="H202" s="15"/>
      <c r="I202" s="15">
        <v>11750</v>
      </c>
      <c r="J202" s="15">
        <v>1</v>
      </c>
      <c r="K202" s="15">
        <v>11750</v>
      </c>
      <c r="L202" s="15"/>
      <c r="M202" s="15"/>
      <c r="N202" s="15"/>
      <c r="O202" s="15"/>
      <c r="P202" s="15"/>
      <c r="Q202" s="15"/>
      <c r="R202" s="16"/>
      <c r="S202" s="3"/>
      <c r="T202" s="3"/>
      <c r="U202" s="3"/>
      <c r="V202" s="3"/>
      <c r="W202" s="3"/>
      <c r="X202" s="3"/>
      <c r="Y202" s="3"/>
    </row>
    <row r="203" spans="1:25" ht="17.25" customHeight="1" x14ac:dyDescent="0.25">
      <c r="A203" s="9"/>
      <c r="B203" s="36"/>
      <c r="C203" s="10"/>
      <c r="D203" s="11">
        <v>19.899999999999999</v>
      </c>
      <c r="E203" s="17" t="s">
        <v>145</v>
      </c>
      <c r="F203" s="18" t="s">
        <v>17</v>
      </c>
      <c r="G203" s="15">
        <v>1</v>
      </c>
      <c r="H203" s="15"/>
      <c r="I203" s="15">
        <v>14500</v>
      </c>
      <c r="J203" s="15">
        <v>1</v>
      </c>
      <c r="K203" s="15">
        <v>14500</v>
      </c>
      <c r="L203" s="15"/>
      <c r="M203" s="15"/>
      <c r="N203" s="15"/>
      <c r="O203" s="15"/>
      <c r="P203" s="15"/>
      <c r="Q203" s="15"/>
      <c r="R203" s="16"/>
      <c r="S203" s="3"/>
      <c r="T203" s="3"/>
      <c r="U203" s="3"/>
      <c r="V203" s="3"/>
      <c r="W203" s="3"/>
      <c r="X203" s="3"/>
      <c r="Y203" s="3"/>
    </row>
    <row r="204" spans="1:25" ht="17.25" customHeight="1" x14ac:dyDescent="0.25">
      <c r="A204" s="9"/>
      <c r="B204" s="36"/>
      <c r="C204" s="10"/>
      <c r="D204" s="33">
        <v>19.100000000000001</v>
      </c>
      <c r="E204" s="17" t="s">
        <v>146</v>
      </c>
      <c r="F204" s="18" t="s">
        <v>17</v>
      </c>
      <c r="G204" s="15">
        <v>1</v>
      </c>
      <c r="H204" s="15"/>
      <c r="I204" s="15">
        <v>201000</v>
      </c>
      <c r="J204" s="15">
        <v>1</v>
      </c>
      <c r="K204" s="15">
        <v>201000</v>
      </c>
      <c r="L204" s="15"/>
      <c r="M204" s="15"/>
      <c r="N204" s="15"/>
      <c r="O204" s="15"/>
      <c r="P204" s="15"/>
      <c r="Q204" s="15"/>
      <c r="R204" s="16"/>
      <c r="S204" s="3"/>
      <c r="T204" s="3"/>
      <c r="U204" s="3"/>
      <c r="V204" s="3"/>
      <c r="W204" s="3"/>
      <c r="X204" s="3"/>
      <c r="Y204" s="3"/>
    </row>
    <row r="205" spans="1:25" ht="17.25" customHeight="1" x14ac:dyDescent="0.25">
      <c r="A205" s="9"/>
      <c r="B205" s="36"/>
      <c r="C205" s="10"/>
      <c r="D205" s="11"/>
      <c r="E205" s="20" t="s">
        <v>18</v>
      </c>
      <c r="F205" s="60"/>
      <c r="G205" s="61"/>
      <c r="H205" s="61"/>
      <c r="I205" s="21">
        <f>SUM(I195:I204)</f>
        <v>760081</v>
      </c>
      <c r="J205" s="15"/>
      <c r="K205" s="21">
        <f>SUM(K195:K204)</f>
        <v>760081</v>
      </c>
      <c r="L205" s="15"/>
      <c r="M205" s="15"/>
      <c r="N205" s="15"/>
      <c r="O205" s="15"/>
      <c r="P205" s="15"/>
      <c r="Q205" s="15"/>
      <c r="R205" s="16"/>
      <c r="S205" s="3"/>
      <c r="T205" s="3"/>
      <c r="U205" s="3"/>
      <c r="V205" s="3"/>
      <c r="W205" s="3"/>
      <c r="X205" s="3"/>
      <c r="Y205" s="3"/>
    </row>
    <row r="206" spans="1:25" ht="17.25" customHeight="1" x14ac:dyDescent="0.25">
      <c r="A206" s="9"/>
      <c r="B206" s="36"/>
      <c r="C206" s="10"/>
      <c r="D206" s="11">
        <v>20</v>
      </c>
      <c r="E206" s="29" t="s">
        <v>147</v>
      </c>
      <c r="F206" s="60"/>
      <c r="G206" s="61"/>
      <c r="H206" s="61"/>
      <c r="I206" s="61"/>
      <c r="J206" s="15"/>
      <c r="K206" s="21"/>
      <c r="L206" s="15"/>
      <c r="M206" s="15"/>
      <c r="N206" s="15"/>
      <c r="O206" s="15"/>
      <c r="P206" s="15"/>
      <c r="Q206" s="15"/>
      <c r="R206" s="16"/>
      <c r="S206" s="3"/>
      <c r="T206" s="3"/>
      <c r="U206" s="3"/>
      <c r="V206" s="3"/>
      <c r="W206" s="3"/>
      <c r="X206" s="3"/>
      <c r="Y206" s="3"/>
    </row>
    <row r="207" spans="1:25" ht="17.25" customHeight="1" x14ac:dyDescent="0.25">
      <c r="A207" s="9"/>
      <c r="B207" s="10"/>
      <c r="C207" s="10"/>
      <c r="D207" s="11">
        <v>20.100000000000001</v>
      </c>
      <c r="E207" s="62" t="s">
        <v>148</v>
      </c>
      <c r="F207" s="18" t="s">
        <v>17</v>
      </c>
      <c r="G207" s="15">
        <v>15</v>
      </c>
      <c r="H207" s="15"/>
      <c r="I207" s="15">
        <v>300000</v>
      </c>
      <c r="J207" s="15"/>
      <c r="K207" s="15"/>
      <c r="L207" s="15">
        <f>7+8</f>
        <v>15</v>
      </c>
      <c r="M207" s="15">
        <f>140000+160000</f>
        <v>300000</v>
      </c>
      <c r="N207" s="15"/>
      <c r="O207" s="15"/>
      <c r="P207" s="15"/>
      <c r="Q207" s="15"/>
      <c r="R207" s="16"/>
      <c r="S207" s="3"/>
      <c r="T207" s="3"/>
      <c r="U207" s="3"/>
      <c r="V207" s="3"/>
      <c r="W207" s="3"/>
      <c r="X207" s="3"/>
      <c r="Y207" s="3"/>
    </row>
    <row r="208" spans="1:25" ht="17.25" customHeight="1" x14ac:dyDescent="0.25">
      <c r="A208" s="9"/>
      <c r="B208" s="10"/>
      <c r="C208" s="10"/>
      <c r="D208" s="11">
        <v>20.2</v>
      </c>
      <c r="E208" s="62" t="s">
        <v>149</v>
      </c>
      <c r="F208" s="18" t="s">
        <v>17</v>
      </c>
      <c r="G208" s="15">
        <v>1</v>
      </c>
      <c r="H208" s="15"/>
      <c r="I208" s="15">
        <v>815650</v>
      </c>
      <c r="J208" s="15"/>
      <c r="K208" s="15"/>
      <c r="L208" s="15">
        <v>1</v>
      </c>
      <c r="M208" s="15">
        <v>815650</v>
      </c>
      <c r="N208" s="15"/>
      <c r="O208" s="15"/>
      <c r="P208" s="15"/>
      <c r="Q208" s="15"/>
      <c r="R208" s="16"/>
      <c r="S208" s="3"/>
      <c r="T208" s="3"/>
      <c r="U208" s="3"/>
      <c r="V208" s="3"/>
      <c r="W208" s="3"/>
      <c r="X208" s="3"/>
      <c r="Y208" s="3"/>
    </row>
    <row r="209" spans="1:25" ht="30" customHeight="1" x14ac:dyDescent="0.25">
      <c r="A209" s="9"/>
      <c r="B209" s="10"/>
      <c r="C209" s="10"/>
      <c r="D209" s="11">
        <v>20.3</v>
      </c>
      <c r="E209" s="62" t="s">
        <v>150</v>
      </c>
      <c r="F209" s="18" t="s">
        <v>17</v>
      </c>
      <c r="G209" s="15">
        <v>3</v>
      </c>
      <c r="H209" s="15"/>
      <c r="I209" s="15">
        <f>M209+Q209</f>
        <v>1932000</v>
      </c>
      <c r="J209" s="15"/>
      <c r="K209" s="15"/>
      <c r="L209" s="15">
        <v>1</v>
      </c>
      <c r="M209" s="15">
        <v>322000</v>
      </c>
      <c r="N209" s="15"/>
      <c r="O209" s="15"/>
      <c r="P209" s="15">
        <v>5</v>
      </c>
      <c r="Q209" s="15">
        <v>1610000</v>
      </c>
      <c r="R209" s="16"/>
      <c r="S209" s="3"/>
      <c r="T209" s="3"/>
      <c r="U209" s="3"/>
      <c r="V209" s="3"/>
      <c r="W209" s="3"/>
      <c r="X209" s="3"/>
      <c r="Y209" s="3"/>
    </row>
    <row r="210" spans="1:25" ht="23.25" customHeight="1" x14ac:dyDescent="0.25">
      <c r="A210" s="9"/>
      <c r="B210" s="10"/>
      <c r="C210" s="10"/>
      <c r="D210" s="11">
        <v>20.399999999999999</v>
      </c>
      <c r="E210" s="62" t="s">
        <v>151</v>
      </c>
      <c r="F210" s="18" t="s">
        <v>17</v>
      </c>
      <c r="G210" s="15">
        <v>3</v>
      </c>
      <c r="H210" s="15"/>
      <c r="I210" s="15">
        <v>280000</v>
      </c>
      <c r="J210" s="15"/>
      <c r="K210" s="15"/>
      <c r="L210" s="15"/>
      <c r="M210" s="15"/>
      <c r="N210" s="15">
        <v>3</v>
      </c>
      <c r="O210" s="15">
        <v>280000</v>
      </c>
      <c r="P210" s="15"/>
      <c r="Q210" s="15"/>
      <c r="R210" s="16"/>
      <c r="S210" s="3"/>
      <c r="T210" s="3"/>
      <c r="U210" s="3"/>
      <c r="V210" s="3"/>
      <c r="W210" s="3"/>
      <c r="X210" s="3"/>
      <c r="Y210" s="3"/>
    </row>
    <row r="211" spans="1:25" ht="17.25" customHeight="1" x14ac:dyDescent="0.25">
      <c r="A211" s="9"/>
      <c r="B211" s="10"/>
      <c r="C211" s="10"/>
      <c r="D211" s="11">
        <v>20.5</v>
      </c>
      <c r="E211" s="62" t="s">
        <v>152</v>
      </c>
      <c r="F211" s="18" t="s">
        <v>17</v>
      </c>
      <c r="G211" s="15">
        <v>1</v>
      </c>
      <c r="H211" s="15"/>
      <c r="I211" s="15">
        <v>550000</v>
      </c>
      <c r="J211" s="15"/>
      <c r="K211" s="15"/>
      <c r="L211" s="15">
        <v>1</v>
      </c>
      <c r="M211" s="15">
        <v>550000</v>
      </c>
      <c r="N211" s="15"/>
      <c r="O211" s="15"/>
      <c r="P211" s="15"/>
      <c r="Q211" s="15"/>
      <c r="R211" s="16"/>
      <c r="S211" s="3"/>
      <c r="T211" s="3"/>
      <c r="U211" s="3"/>
      <c r="V211" s="3"/>
      <c r="W211" s="3"/>
      <c r="X211" s="3"/>
      <c r="Y211" s="3"/>
    </row>
    <row r="212" spans="1:25" ht="17.25" customHeight="1" x14ac:dyDescent="0.25">
      <c r="A212" s="9"/>
      <c r="B212" s="10"/>
      <c r="C212" s="10"/>
      <c r="D212" s="11">
        <v>20.6</v>
      </c>
      <c r="E212" s="62" t="s">
        <v>153</v>
      </c>
      <c r="F212" s="18" t="s">
        <v>17</v>
      </c>
      <c r="G212" s="15">
        <v>1</v>
      </c>
      <c r="H212" s="15"/>
      <c r="I212" s="15">
        <v>3100000</v>
      </c>
      <c r="J212" s="15"/>
      <c r="K212" s="15"/>
      <c r="L212" s="15"/>
      <c r="M212" s="15"/>
      <c r="N212" s="15"/>
      <c r="O212" s="15"/>
      <c r="P212" s="15">
        <v>1</v>
      </c>
      <c r="Q212" s="15">
        <v>3100000</v>
      </c>
      <c r="R212" s="16"/>
      <c r="S212" s="3"/>
      <c r="T212" s="3"/>
      <c r="U212" s="3"/>
      <c r="V212" s="3"/>
      <c r="W212" s="3"/>
      <c r="X212" s="3"/>
      <c r="Y212" s="3"/>
    </row>
    <row r="213" spans="1:25" ht="17.25" customHeight="1" x14ac:dyDescent="0.25">
      <c r="A213" s="9"/>
      <c r="B213" s="10"/>
      <c r="C213" s="10"/>
      <c r="D213" s="11">
        <v>20.7</v>
      </c>
      <c r="E213" s="62" t="s">
        <v>154</v>
      </c>
      <c r="F213" s="18" t="s">
        <v>17</v>
      </c>
      <c r="G213" s="15">
        <v>1</v>
      </c>
      <c r="H213" s="15"/>
      <c r="I213" s="15">
        <v>2100000</v>
      </c>
      <c r="J213" s="15"/>
      <c r="K213" s="15"/>
      <c r="L213" s="15"/>
      <c r="M213" s="15"/>
      <c r="N213" s="15"/>
      <c r="O213" s="15"/>
      <c r="P213" s="15">
        <v>1</v>
      </c>
      <c r="Q213" s="15">
        <v>2100000</v>
      </c>
      <c r="R213" s="16"/>
      <c r="S213" s="3"/>
      <c r="T213" s="3"/>
      <c r="U213" s="3"/>
      <c r="V213" s="3"/>
      <c r="W213" s="3"/>
      <c r="X213" s="3"/>
      <c r="Y213" s="3"/>
    </row>
    <row r="214" spans="1:25" ht="17.25" customHeight="1" x14ac:dyDescent="0.25">
      <c r="A214" s="9"/>
      <c r="B214" s="10"/>
      <c r="C214" s="10"/>
      <c r="D214" s="11">
        <v>20.8</v>
      </c>
      <c r="E214" s="62" t="s">
        <v>363</v>
      </c>
      <c r="F214" s="18" t="s">
        <v>17</v>
      </c>
      <c r="G214" s="15">
        <v>1</v>
      </c>
      <c r="H214" s="15"/>
      <c r="I214" s="15">
        <v>2000000</v>
      </c>
      <c r="J214" s="15"/>
      <c r="K214" s="15"/>
      <c r="L214" s="15"/>
      <c r="M214" s="15"/>
      <c r="N214" s="15"/>
      <c r="O214" s="15"/>
      <c r="P214" s="15">
        <v>1</v>
      </c>
      <c r="Q214" s="15">
        <v>2000000</v>
      </c>
      <c r="R214" s="16"/>
      <c r="S214" s="3"/>
      <c r="T214" s="3"/>
      <c r="U214" s="3"/>
      <c r="V214" s="3"/>
      <c r="W214" s="3"/>
      <c r="X214" s="3"/>
      <c r="Y214" s="3"/>
    </row>
    <row r="215" spans="1:25" ht="17.25" customHeight="1" x14ac:dyDescent="0.25">
      <c r="A215" s="9"/>
      <c r="B215" s="36"/>
      <c r="C215" s="10"/>
      <c r="D215" s="11"/>
      <c r="E215" s="63"/>
      <c r="F215" s="60"/>
      <c r="G215" s="61"/>
      <c r="H215" s="61"/>
      <c r="I215" s="21">
        <f>SUM(I207:I214)</f>
        <v>11077650</v>
      </c>
      <c r="J215" s="15"/>
      <c r="K215" s="21"/>
      <c r="L215" s="15"/>
      <c r="M215" s="21">
        <f>SUM(M207:M212)</f>
        <v>1987650</v>
      </c>
      <c r="N215" s="21"/>
      <c r="O215" s="21">
        <f>SUM(O210:O213)</f>
        <v>280000</v>
      </c>
      <c r="P215" s="15"/>
      <c r="Q215" s="21">
        <f>SUM(Q209:Q214)</f>
        <v>8810000</v>
      </c>
      <c r="R215" s="16"/>
      <c r="S215" s="84"/>
      <c r="T215" s="3"/>
      <c r="U215" s="3"/>
      <c r="V215" s="3"/>
      <c r="W215" s="3"/>
      <c r="X215" s="3"/>
      <c r="Y215" s="3"/>
    </row>
    <row r="216" spans="1:25" ht="15.75" customHeight="1" x14ac:dyDescent="0.25">
      <c r="A216" s="9"/>
      <c r="B216" s="10"/>
      <c r="C216" s="10"/>
      <c r="D216" s="11">
        <v>21</v>
      </c>
      <c r="E216" s="29" t="s">
        <v>155</v>
      </c>
      <c r="F216" s="18"/>
      <c r="G216" s="24"/>
      <c r="H216" s="25"/>
      <c r="I216" s="64"/>
      <c r="J216" s="28"/>
      <c r="K216" s="65"/>
      <c r="L216" s="15"/>
      <c r="M216" s="65"/>
      <c r="N216" s="15"/>
      <c r="O216" s="65"/>
      <c r="P216" s="24"/>
      <c r="Q216" s="45"/>
      <c r="R216" s="64"/>
      <c r="S216" s="3"/>
      <c r="T216" s="3"/>
      <c r="U216" s="3"/>
      <c r="V216" s="3"/>
      <c r="W216" s="3"/>
      <c r="X216" s="3"/>
      <c r="Y216" s="3"/>
    </row>
    <row r="217" spans="1:25" ht="15.75" customHeight="1" x14ac:dyDescent="0.25">
      <c r="A217" s="9"/>
      <c r="B217" s="10"/>
      <c r="C217" s="10"/>
      <c r="D217" s="11">
        <v>21.1</v>
      </c>
      <c r="E217" s="17" t="s">
        <v>156</v>
      </c>
      <c r="F217" s="18" t="s">
        <v>24</v>
      </c>
      <c r="G217" s="24">
        <v>1</v>
      </c>
      <c r="H217" s="25"/>
      <c r="I217" s="27">
        <f>O217+Q217</f>
        <v>58746.5</v>
      </c>
      <c r="J217" s="28"/>
      <c r="K217" s="27"/>
      <c r="L217" s="15"/>
      <c r="M217" s="19"/>
      <c r="N217" s="15"/>
      <c r="O217" s="27">
        <f>12967.5+15779</f>
        <v>28746.5</v>
      </c>
      <c r="P217" s="24"/>
      <c r="Q217" s="24">
        <v>30000</v>
      </c>
      <c r="R217" s="26"/>
      <c r="S217" s="3"/>
      <c r="T217" s="3"/>
      <c r="U217" s="3"/>
      <c r="V217" s="3"/>
      <c r="W217" s="3"/>
      <c r="X217" s="3"/>
      <c r="Y217" s="3"/>
    </row>
    <row r="218" spans="1:25" ht="15.75" customHeight="1" x14ac:dyDescent="0.25">
      <c r="A218" s="9"/>
      <c r="B218" s="10"/>
      <c r="C218" s="10"/>
      <c r="D218" s="11">
        <v>21.2</v>
      </c>
      <c r="E218" s="17" t="s">
        <v>157</v>
      </c>
      <c r="F218" s="18" t="s">
        <v>24</v>
      </c>
      <c r="G218" s="24">
        <v>1</v>
      </c>
      <c r="H218" s="25"/>
      <c r="I218" s="26">
        <f>K218+O218+Q218</f>
        <v>160780</v>
      </c>
      <c r="J218" s="28"/>
      <c r="K218" s="26">
        <v>89580</v>
      </c>
      <c r="L218" s="15"/>
      <c r="M218" s="27"/>
      <c r="N218" s="15"/>
      <c r="O218" s="27">
        <v>36200</v>
      </c>
      <c r="P218" s="24"/>
      <c r="Q218" s="24">
        <v>35000</v>
      </c>
      <c r="R218" s="26"/>
      <c r="S218" s="3"/>
      <c r="T218" s="3"/>
      <c r="U218" s="3"/>
      <c r="V218" s="3"/>
      <c r="W218" s="3"/>
      <c r="X218" s="3"/>
      <c r="Y218" s="3"/>
    </row>
    <row r="219" spans="1:25" ht="15.75" customHeight="1" x14ac:dyDescent="0.25">
      <c r="A219" s="9"/>
      <c r="B219" s="10"/>
      <c r="C219" s="10"/>
      <c r="D219" s="11">
        <v>21.3</v>
      </c>
      <c r="E219" s="17" t="s">
        <v>158</v>
      </c>
      <c r="F219" s="18" t="s">
        <v>24</v>
      </c>
      <c r="G219" s="24">
        <v>2</v>
      </c>
      <c r="H219" s="25"/>
      <c r="I219" s="26">
        <f>K219+M219+O219+Q219</f>
        <v>229920</v>
      </c>
      <c r="J219" s="28"/>
      <c r="K219" s="26">
        <v>100000</v>
      </c>
      <c r="L219" s="15"/>
      <c r="M219" s="26">
        <v>100000</v>
      </c>
      <c r="N219" s="15"/>
      <c r="O219" s="26">
        <v>4920</v>
      </c>
      <c r="P219" s="24"/>
      <c r="Q219" s="24">
        <v>25000</v>
      </c>
      <c r="R219" s="26"/>
      <c r="S219" s="3"/>
      <c r="T219" s="3"/>
      <c r="U219" s="3"/>
      <c r="V219" s="3"/>
      <c r="W219" s="3"/>
      <c r="X219" s="3"/>
      <c r="Y219" s="3"/>
    </row>
    <row r="220" spans="1:25" ht="15.75" customHeight="1" x14ac:dyDescent="0.25">
      <c r="A220" s="9"/>
      <c r="B220" s="10"/>
      <c r="C220" s="10"/>
      <c r="D220" s="11">
        <v>21.4</v>
      </c>
      <c r="E220" s="17" t="s">
        <v>331</v>
      </c>
      <c r="F220" s="18" t="s">
        <v>17</v>
      </c>
      <c r="G220" s="24">
        <v>10</v>
      </c>
      <c r="H220" s="25"/>
      <c r="I220" s="26">
        <f>M220+O220+Q220</f>
        <v>93515</v>
      </c>
      <c r="J220" s="28"/>
      <c r="K220" s="26"/>
      <c r="L220" s="15"/>
      <c r="M220" s="26"/>
      <c r="N220" s="15"/>
      <c r="O220" s="26">
        <f>5800+22410+1550+3750+35005</f>
        <v>68515</v>
      </c>
      <c r="P220" s="24"/>
      <c r="Q220" s="66">
        <v>25000</v>
      </c>
      <c r="R220" s="26"/>
      <c r="S220" s="3"/>
      <c r="T220" s="3"/>
      <c r="U220" s="3"/>
      <c r="V220" s="3"/>
      <c r="W220" s="3"/>
      <c r="X220" s="3"/>
      <c r="Y220" s="3"/>
    </row>
    <row r="221" spans="1:25" ht="15.75" customHeight="1" x14ac:dyDescent="0.25">
      <c r="A221" s="9"/>
      <c r="B221" s="10"/>
      <c r="C221" s="10"/>
      <c r="D221" s="11"/>
      <c r="E221" s="17"/>
      <c r="F221" s="18"/>
      <c r="G221" s="24"/>
      <c r="H221" s="25"/>
      <c r="I221" s="64">
        <f>SUM(I217:I220)</f>
        <v>542961.5</v>
      </c>
      <c r="J221" s="28"/>
      <c r="K221" s="64">
        <f>SUM(K217:K219)</f>
        <v>189580</v>
      </c>
      <c r="L221" s="15"/>
      <c r="M221" s="64">
        <f>SUM(M217:M219)</f>
        <v>100000</v>
      </c>
      <c r="N221" s="15"/>
      <c r="O221" s="64">
        <f>SUM(O217:O220)</f>
        <v>138381.5</v>
      </c>
      <c r="P221" s="24"/>
      <c r="Q221" s="64">
        <f>SUM(Q217:Q220)</f>
        <v>115000</v>
      </c>
      <c r="R221" s="26"/>
      <c r="S221" s="84"/>
      <c r="T221" s="3"/>
      <c r="U221" s="3"/>
      <c r="V221" s="3"/>
      <c r="W221" s="3"/>
      <c r="X221" s="3"/>
      <c r="Y221" s="3"/>
    </row>
    <row r="222" spans="1:25" ht="15.75" customHeight="1" x14ac:dyDescent="0.25">
      <c r="A222" s="9"/>
      <c r="B222" s="10"/>
      <c r="C222" s="10"/>
      <c r="D222" s="11">
        <v>22</v>
      </c>
      <c r="E222" s="29" t="s">
        <v>159</v>
      </c>
      <c r="F222" s="18"/>
      <c r="G222" s="24"/>
      <c r="H222" s="25"/>
      <c r="I222" s="26"/>
      <c r="J222" s="28"/>
      <c r="K222" s="26"/>
      <c r="L222" s="15"/>
      <c r="M222" s="27"/>
      <c r="N222" s="15"/>
      <c r="O222" s="27"/>
      <c r="P222" s="24"/>
      <c r="Q222" s="24"/>
      <c r="R222" s="26"/>
      <c r="S222" s="3"/>
      <c r="T222" s="3"/>
      <c r="U222" s="3"/>
      <c r="V222" s="3"/>
      <c r="W222" s="3"/>
      <c r="X222" s="3"/>
      <c r="Y222" s="3"/>
    </row>
    <row r="223" spans="1:25" ht="15.75" customHeight="1" x14ac:dyDescent="0.25">
      <c r="A223" s="9"/>
      <c r="B223" s="10"/>
      <c r="C223" s="10"/>
      <c r="D223" s="11">
        <v>22.1</v>
      </c>
      <c r="E223" s="17" t="s">
        <v>160</v>
      </c>
      <c r="F223" s="18" t="s">
        <v>24</v>
      </c>
      <c r="G223" s="24">
        <v>1</v>
      </c>
      <c r="H223" s="25"/>
      <c r="I223" s="27">
        <v>100000</v>
      </c>
      <c r="J223" s="28"/>
      <c r="K223" s="27"/>
      <c r="L223" s="15"/>
      <c r="M223" s="19"/>
      <c r="N223" s="15">
        <v>1</v>
      </c>
      <c r="O223" s="27">
        <v>100000</v>
      </c>
      <c r="P223" s="24"/>
      <c r="Q223" s="24"/>
      <c r="R223" s="26"/>
      <c r="S223" s="3"/>
      <c r="T223" s="3"/>
      <c r="U223" s="3"/>
      <c r="V223" s="3"/>
      <c r="W223" s="3"/>
      <c r="X223" s="3"/>
      <c r="Y223" s="3"/>
    </row>
    <row r="224" spans="1:25" ht="15.75" customHeight="1" x14ac:dyDescent="0.25">
      <c r="A224" s="9"/>
      <c r="B224" s="10"/>
      <c r="C224" s="10"/>
      <c r="D224" s="11">
        <v>22.2</v>
      </c>
      <c r="E224" s="17" t="s">
        <v>161</v>
      </c>
      <c r="F224" s="18" t="s">
        <v>24</v>
      </c>
      <c r="G224" s="24">
        <v>1</v>
      </c>
      <c r="H224" s="25"/>
      <c r="I224" s="26">
        <v>70000</v>
      </c>
      <c r="J224" s="28">
        <v>1</v>
      </c>
      <c r="K224" s="26">
        <v>70000</v>
      </c>
      <c r="L224" s="15"/>
      <c r="M224" s="27"/>
      <c r="N224" s="15"/>
      <c r="O224" s="27"/>
      <c r="P224" s="24"/>
      <c r="Q224" s="24"/>
      <c r="R224" s="26"/>
      <c r="S224" s="3"/>
      <c r="T224" s="3"/>
      <c r="U224" s="3"/>
      <c r="V224" s="3"/>
      <c r="W224" s="3"/>
      <c r="X224" s="3"/>
      <c r="Y224" s="3"/>
    </row>
    <row r="225" spans="1:25" ht="15.75" customHeight="1" x14ac:dyDescent="0.25">
      <c r="A225" s="9"/>
      <c r="B225" s="10"/>
      <c r="C225" s="10"/>
      <c r="D225" s="11">
        <v>22.3</v>
      </c>
      <c r="E225" s="17" t="s">
        <v>162</v>
      </c>
      <c r="F225" s="18" t="s">
        <v>24</v>
      </c>
      <c r="G225" s="24">
        <v>1</v>
      </c>
      <c r="H225" s="25"/>
      <c r="I225" s="26">
        <v>31500</v>
      </c>
      <c r="J225" s="28"/>
      <c r="K225" s="26"/>
      <c r="L225" s="67"/>
      <c r="M225" s="26"/>
      <c r="N225" s="67">
        <v>1</v>
      </c>
      <c r="O225" s="26">
        <v>31500</v>
      </c>
      <c r="P225" s="24"/>
      <c r="Q225" s="24"/>
      <c r="R225" s="26"/>
      <c r="S225" s="3"/>
      <c r="T225" s="3"/>
      <c r="U225" s="3"/>
      <c r="V225" s="3"/>
      <c r="W225" s="3"/>
      <c r="X225" s="3"/>
      <c r="Y225" s="3"/>
    </row>
    <row r="226" spans="1:25" ht="15.75" customHeight="1" x14ac:dyDescent="0.25">
      <c r="A226" s="9"/>
      <c r="B226" s="10"/>
      <c r="C226" s="10"/>
      <c r="D226" s="11"/>
      <c r="E226" s="68"/>
      <c r="F226" s="18"/>
      <c r="G226" s="24"/>
      <c r="H226" s="25"/>
      <c r="I226" s="64">
        <f>SUM(I223:I225)</f>
        <v>201500</v>
      </c>
      <c r="J226" s="28"/>
      <c r="K226" s="64">
        <f>SUM(K223:K224)</f>
        <v>70000</v>
      </c>
      <c r="L226" s="64"/>
      <c r="M226" s="64"/>
      <c r="N226" s="64"/>
      <c r="O226" s="64">
        <f>SUM(O223:O225)</f>
        <v>131500</v>
      </c>
      <c r="P226" s="24"/>
      <c r="Q226" s="24"/>
      <c r="R226" s="26"/>
      <c r="S226" s="3"/>
      <c r="T226" s="3"/>
      <c r="U226" s="3"/>
      <c r="V226" s="3"/>
      <c r="W226" s="3"/>
      <c r="X226" s="3"/>
      <c r="Y226" s="3"/>
    </row>
    <row r="227" spans="1:25" ht="16.5" customHeight="1" x14ac:dyDescent="0.25">
      <c r="A227" s="9"/>
      <c r="B227" s="10"/>
      <c r="C227" s="10"/>
      <c r="D227" s="11">
        <v>23</v>
      </c>
      <c r="E227" s="63" t="s">
        <v>163</v>
      </c>
      <c r="F227" s="39"/>
      <c r="G227" s="21"/>
      <c r="H227" s="21"/>
      <c r="I227" s="21"/>
      <c r="J227" s="15"/>
      <c r="K227" s="15"/>
      <c r="L227" s="15"/>
      <c r="M227" s="15"/>
      <c r="N227" s="15"/>
      <c r="O227" s="15"/>
      <c r="P227" s="15"/>
      <c r="Q227" s="15"/>
      <c r="R227" s="16"/>
      <c r="S227" s="3"/>
      <c r="T227" s="3"/>
      <c r="U227" s="3"/>
      <c r="V227" s="3"/>
      <c r="W227" s="3"/>
      <c r="X227" s="3"/>
      <c r="Y227" s="3"/>
    </row>
    <row r="228" spans="1:25" ht="28.5" customHeight="1" x14ac:dyDescent="0.25">
      <c r="A228" s="9"/>
      <c r="B228" s="10"/>
      <c r="C228" s="10"/>
      <c r="D228" s="11">
        <v>23.1</v>
      </c>
      <c r="E228" s="17" t="s">
        <v>164</v>
      </c>
      <c r="F228" s="18" t="s">
        <v>165</v>
      </c>
      <c r="G228" s="15">
        <v>25300</v>
      </c>
      <c r="H228" s="15"/>
      <c r="I228" s="15">
        <f>G228*35</f>
        <v>885500</v>
      </c>
      <c r="J228" s="15"/>
      <c r="K228" s="15"/>
      <c r="L228" s="15">
        <v>25308</v>
      </c>
      <c r="M228" s="15">
        <v>885500</v>
      </c>
      <c r="N228" s="15"/>
      <c r="O228" s="15"/>
      <c r="P228" s="15"/>
      <c r="Q228" s="15"/>
      <c r="R228" s="16"/>
      <c r="S228" s="3"/>
      <c r="T228" s="3"/>
      <c r="U228" s="3"/>
      <c r="V228" s="3"/>
      <c r="W228" s="3"/>
      <c r="X228" s="3"/>
      <c r="Y228" s="3"/>
    </row>
    <row r="229" spans="1:25" ht="16.5" customHeight="1" x14ac:dyDescent="0.25">
      <c r="A229" s="9"/>
      <c r="B229" s="10"/>
      <c r="C229" s="10"/>
      <c r="D229" s="11">
        <v>23.2</v>
      </c>
      <c r="E229" s="17" t="s">
        <v>166</v>
      </c>
      <c r="F229" s="18" t="s">
        <v>165</v>
      </c>
      <c r="G229" s="15">
        <v>4600</v>
      </c>
      <c r="H229" s="15"/>
      <c r="I229" s="15">
        <f>G229*35</f>
        <v>161000</v>
      </c>
      <c r="J229" s="15"/>
      <c r="K229" s="15"/>
      <c r="L229" s="15">
        <v>4600</v>
      </c>
      <c r="M229" s="15">
        <v>161000</v>
      </c>
      <c r="N229" s="15"/>
      <c r="O229" s="15"/>
      <c r="P229" s="15"/>
      <c r="Q229" s="15"/>
      <c r="R229" s="16"/>
      <c r="S229" s="3"/>
      <c r="T229" s="3"/>
      <c r="U229" s="3"/>
      <c r="V229" s="3"/>
      <c r="W229" s="3"/>
      <c r="X229" s="3"/>
      <c r="Y229" s="3"/>
    </row>
    <row r="230" spans="1:25" ht="16.5" customHeight="1" x14ac:dyDescent="0.25">
      <c r="A230" s="9"/>
      <c r="B230" s="10"/>
      <c r="C230" s="10"/>
      <c r="D230" s="11">
        <v>23.3</v>
      </c>
      <c r="E230" s="17" t="s">
        <v>167</v>
      </c>
      <c r="F230" s="18" t="s">
        <v>165</v>
      </c>
      <c r="G230" s="15">
        <v>1000</v>
      </c>
      <c r="H230" s="15"/>
      <c r="I230" s="15">
        <f>G230*35</f>
        <v>35000</v>
      </c>
      <c r="J230" s="15"/>
      <c r="K230" s="15"/>
      <c r="L230" s="15">
        <v>1000</v>
      </c>
      <c r="M230" s="15">
        <v>35000</v>
      </c>
      <c r="N230" s="15"/>
      <c r="O230" s="15"/>
      <c r="P230" s="15"/>
      <c r="Q230" s="15"/>
      <c r="R230" s="16"/>
      <c r="S230" s="3"/>
      <c r="T230" s="3"/>
      <c r="U230" s="3"/>
      <c r="V230" s="3"/>
      <c r="W230" s="3"/>
      <c r="X230" s="3"/>
      <c r="Y230" s="3"/>
    </row>
    <row r="231" spans="1:25" ht="16.5" customHeight="1" x14ac:dyDescent="0.25">
      <c r="A231" s="9"/>
      <c r="B231" s="10"/>
      <c r="C231" s="10"/>
      <c r="D231" s="11"/>
      <c r="E231" s="17"/>
      <c r="F231" s="39"/>
      <c r="G231" s="15"/>
      <c r="H231" s="15"/>
      <c r="I231" s="69">
        <f>SUM(I228:I230)</f>
        <v>1081500</v>
      </c>
      <c r="J231" s="15"/>
      <c r="K231" s="21">
        <f>SUM(K228:K229)</f>
        <v>0</v>
      </c>
      <c r="L231" s="15"/>
      <c r="M231" s="21">
        <f>SUM(M228:M230)</f>
        <v>1081500</v>
      </c>
      <c r="N231" s="15"/>
      <c r="O231" s="21">
        <f>SUM(O228:O229)</f>
        <v>0</v>
      </c>
      <c r="P231" s="15"/>
      <c r="Q231" s="21">
        <f>SUM(Q228:Q229)</f>
        <v>0</v>
      </c>
      <c r="R231" s="16"/>
      <c r="S231" s="3"/>
      <c r="T231" s="3"/>
      <c r="U231" s="3"/>
      <c r="V231" s="3"/>
      <c r="W231" s="3"/>
      <c r="X231" s="3"/>
      <c r="Y231" s="3"/>
    </row>
    <row r="232" spans="1:25" ht="18" customHeight="1" x14ac:dyDescent="0.25">
      <c r="A232" s="9"/>
      <c r="B232" s="10"/>
      <c r="C232" s="10"/>
      <c r="D232" s="11">
        <v>24</v>
      </c>
      <c r="E232" s="29" t="s">
        <v>168</v>
      </c>
      <c r="F232" s="39"/>
      <c r="G232" s="21"/>
      <c r="H232" s="21"/>
      <c r="I232" s="21"/>
      <c r="J232" s="15"/>
      <c r="K232" s="15"/>
      <c r="L232" s="15"/>
      <c r="M232" s="15"/>
      <c r="N232" s="15"/>
      <c r="O232" s="15"/>
      <c r="P232" s="15"/>
      <c r="Q232" s="15"/>
      <c r="R232" s="16"/>
      <c r="S232" s="3"/>
      <c r="T232" s="3"/>
      <c r="U232" s="3"/>
      <c r="V232" s="3"/>
      <c r="W232" s="3"/>
      <c r="X232" s="3"/>
      <c r="Y232" s="3"/>
    </row>
    <row r="233" spans="1:25" ht="18" customHeight="1" x14ac:dyDescent="0.25">
      <c r="A233" s="9"/>
      <c r="B233" s="10"/>
      <c r="C233" s="10"/>
      <c r="D233" s="11">
        <v>24.1</v>
      </c>
      <c r="E233" s="70" t="s">
        <v>169</v>
      </c>
      <c r="F233" s="18" t="s">
        <v>17</v>
      </c>
      <c r="G233" s="15">
        <f>L233+N233+P233</f>
        <v>51</v>
      </c>
      <c r="H233" s="15"/>
      <c r="I233" s="15">
        <f>M233+O233+Q233</f>
        <v>450600</v>
      </c>
      <c r="J233" s="15"/>
      <c r="K233" s="15"/>
      <c r="L233" s="15">
        <v>11</v>
      </c>
      <c r="M233" s="15">
        <v>50600</v>
      </c>
      <c r="N233" s="15">
        <v>20</v>
      </c>
      <c r="O233" s="15">
        <v>200000</v>
      </c>
      <c r="P233" s="15">
        <v>20</v>
      </c>
      <c r="Q233" s="15">
        <v>200000</v>
      </c>
      <c r="R233" s="16"/>
      <c r="S233" s="3"/>
      <c r="T233" s="3"/>
      <c r="U233" s="3"/>
      <c r="V233" s="3"/>
      <c r="W233" s="3"/>
      <c r="X233" s="3"/>
      <c r="Y233" s="3"/>
    </row>
    <row r="234" spans="1:25" ht="18" customHeight="1" x14ac:dyDescent="0.25">
      <c r="A234" s="9"/>
      <c r="B234" s="10"/>
      <c r="C234" s="10"/>
      <c r="D234" s="11">
        <v>24.2</v>
      </c>
      <c r="E234" s="70" t="s">
        <v>170</v>
      </c>
      <c r="F234" s="18" t="s">
        <v>17</v>
      </c>
      <c r="G234" s="15">
        <f t="shared" ref="G234:G242" si="7">L234+N234+P234</f>
        <v>144</v>
      </c>
      <c r="H234" s="15"/>
      <c r="I234" s="15">
        <f t="shared" ref="I234:I242" si="8">M234+O234+Q234</f>
        <v>506000</v>
      </c>
      <c r="J234" s="15"/>
      <c r="K234" s="15"/>
      <c r="L234" s="15">
        <v>64</v>
      </c>
      <c r="M234" s="15">
        <v>96000</v>
      </c>
      <c r="N234" s="15">
        <v>50</v>
      </c>
      <c r="O234" s="15">
        <v>320000</v>
      </c>
      <c r="P234" s="15">
        <v>30</v>
      </c>
      <c r="Q234" s="15">
        <v>90000</v>
      </c>
      <c r="R234" s="16"/>
      <c r="S234" s="3"/>
      <c r="T234" s="3"/>
      <c r="U234" s="3"/>
      <c r="V234" s="3"/>
      <c r="W234" s="3"/>
      <c r="X234" s="3"/>
      <c r="Y234" s="3"/>
    </row>
    <row r="235" spans="1:25" ht="18" customHeight="1" x14ac:dyDescent="0.25">
      <c r="A235" s="9"/>
      <c r="B235" s="10"/>
      <c r="C235" s="10"/>
      <c r="D235" s="11">
        <v>24.3</v>
      </c>
      <c r="E235" s="70" t="s">
        <v>338</v>
      </c>
      <c r="F235" s="18" t="s">
        <v>17</v>
      </c>
      <c r="G235" s="15">
        <f t="shared" si="7"/>
        <v>86</v>
      </c>
      <c r="H235" s="15"/>
      <c r="I235" s="15">
        <f t="shared" si="8"/>
        <v>586800</v>
      </c>
      <c r="J235" s="15"/>
      <c r="K235" s="15"/>
      <c r="L235" s="15">
        <v>2</v>
      </c>
      <c r="M235" s="15">
        <v>4800</v>
      </c>
      <c r="N235" s="15">
        <v>54</v>
      </c>
      <c r="O235" s="15">
        <v>432000</v>
      </c>
      <c r="P235" s="15">
        <v>30</v>
      </c>
      <c r="Q235" s="15">
        <v>150000</v>
      </c>
      <c r="R235" s="16"/>
      <c r="S235" s="3"/>
      <c r="T235" s="3"/>
      <c r="U235" s="3"/>
      <c r="V235" s="3"/>
      <c r="W235" s="3"/>
      <c r="X235" s="3"/>
      <c r="Y235" s="3"/>
    </row>
    <row r="236" spans="1:25" ht="18" customHeight="1" x14ac:dyDescent="0.25">
      <c r="A236" s="9"/>
      <c r="B236" s="10"/>
      <c r="C236" s="10"/>
      <c r="D236" s="11">
        <v>24.4</v>
      </c>
      <c r="E236" s="70" t="s">
        <v>171</v>
      </c>
      <c r="F236" s="18" t="s">
        <v>17</v>
      </c>
      <c r="G236" s="15">
        <f t="shared" si="7"/>
        <v>25</v>
      </c>
      <c r="H236" s="15"/>
      <c r="I236" s="15">
        <f t="shared" si="8"/>
        <v>235000</v>
      </c>
      <c r="J236" s="15"/>
      <c r="K236" s="15"/>
      <c r="L236" s="15">
        <v>5</v>
      </c>
      <c r="M236" s="15">
        <v>35000</v>
      </c>
      <c r="N236" s="15">
        <v>10</v>
      </c>
      <c r="O236" s="15">
        <v>100000</v>
      </c>
      <c r="P236" s="15">
        <v>10</v>
      </c>
      <c r="Q236" s="15">
        <v>100000</v>
      </c>
      <c r="R236" s="16"/>
      <c r="S236" s="3"/>
      <c r="T236" s="3"/>
      <c r="U236" s="3"/>
      <c r="V236" s="3"/>
      <c r="W236" s="3"/>
      <c r="X236" s="3"/>
      <c r="Y236" s="3"/>
    </row>
    <row r="237" spans="1:25" ht="18" customHeight="1" x14ac:dyDescent="0.25">
      <c r="A237" s="9"/>
      <c r="B237" s="10"/>
      <c r="C237" s="10"/>
      <c r="D237" s="11">
        <v>24.5</v>
      </c>
      <c r="E237" s="70" t="s">
        <v>172</v>
      </c>
      <c r="F237" s="18" t="s">
        <v>17</v>
      </c>
      <c r="G237" s="15">
        <f t="shared" si="7"/>
        <v>23</v>
      </c>
      <c r="H237" s="15"/>
      <c r="I237" s="15">
        <f t="shared" si="8"/>
        <v>199000</v>
      </c>
      <c r="J237" s="15"/>
      <c r="K237" s="15"/>
      <c r="L237" s="15">
        <v>7</v>
      </c>
      <c r="M237" s="15">
        <v>49000</v>
      </c>
      <c r="N237" s="15">
        <v>10</v>
      </c>
      <c r="O237" s="15">
        <v>60000</v>
      </c>
      <c r="P237" s="15">
        <v>6</v>
      </c>
      <c r="Q237" s="15">
        <v>90000</v>
      </c>
      <c r="R237" s="16"/>
      <c r="S237" s="3"/>
      <c r="T237" s="3"/>
      <c r="U237" s="3"/>
      <c r="V237" s="3"/>
      <c r="W237" s="3"/>
      <c r="X237" s="3"/>
      <c r="Y237" s="3"/>
    </row>
    <row r="238" spans="1:25" ht="18" customHeight="1" x14ac:dyDescent="0.25">
      <c r="A238" s="9"/>
      <c r="B238" s="10"/>
      <c r="C238" s="10"/>
      <c r="D238" s="11">
        <v>24.6</v>
      </c>
      <c r="E238" s="70" t="s">
        <v>173</v>
      </c>
      <c r="F238" s="18" t="s">
        <v>17</v>
      </c>
      <c r="G238" s="15">
        <f t="shared" si="7"/>
        <v>32</v>
      </c>
      <c r="H238" s="15"/>
      <c r="I238" s="15">
        <f t="shared" si="8"/>
        <v>145900</v>
      </c>
      <c r="J238" s="15"/>
      <c r="K238" s="15"/>
      <c r="L238" s="15">
        <v>11</v>
      </c>
      <c r="M238" s="15">
        <v>52800</v>
      </c>
      <c r="N238" s="15">
        <v>1</v>
      </c>
      <c r="O238" s="15">
        <v>3100</v>
      </c>
      <c r="P238" s="15">
        <v>20</v>
      </c>
      <c r="Q238" s="15">
        <v>90000</v>
      </c>
      <c r="R238" s="16"/>
      <c r="S238" s="3"/>
      <c r="T238" s="3"/>
      <c r="U238" s="3"/>
      <c r="V238" s="3"/>
      <c r="W238" s="3"/>
      <c r="X238" s="3"/>
      <c r="Y238" s="3"/>
    </row>
    <row r="239" spans="1:25" ht="18" customHeight="1" x14ac:dyDescent="0.25">
      <c r="A239" s="9"/>
      <c r="B239" s="10"/>
      <c r="C239" s="10"/>
      <c r="D239" s="11">
        <v>24.7</v>
      </c>
      <c r="E239" s="70" t="s">
        <v>174</v>
      </c>
      <c r="F239" s="18" t="s">
        <v>17</v>
      </c>
      <c r="G239" s="15">
        <f t="shared" si="7"/>
        <v>11</v>
      </c>
      <c r="H239" s="15"/>
      <c r="I239" s="15">
        <f t="shared" si="8"/>
        <v>65000</v>
      </c>
      <c r="J239" s="15"/>
      <c r="K239" s="15"/>
      <c r="L239" s="15">
        <v>1</v>
      </c>
      <c r="M239" s="15">
        <v>5000</v>
      </c>
      <c r="N239" s="15"/>
      <c r="O239" s="15"/>
      <c r="P239" s="15">
        <v>10</v>
      </c>
      <c r="Q239" s="15">
        <v>60000</v>
      </c>
      <c r="R239" s="16"/>
      <c r="S239" s="3"/>
      <c r="T239" s="3"/>
      <c r="U239" s="3"/>
      <c r="V239" s="3"/>
      <c r="W239" s="3"/>
      <c r="X239" s="3"/>
      <c r="Y239" s="3"/>
    </row>
    <row r="240" spans="1:25" ht="18" customHeight="1" x14ac:dyDescent="0.25">
      <c r="A240" s="9"/>
      <c r="B240" s="10"/>
      <c r="C240" s="10"/>
      <c r="D240" s="11">
        <v>24.8</v>
      </c>
      <c r="E240" s="70" t="s">
        <v>175</v>
      </c>
      <c r="F240" s="18" t="s">
        <v>17</v>
      </c>
      <c r="G240" s="15">
        <f t="shared" si="7"/>
        <v>5</v>
      </c>
      <c r="H240" s="15"/>
      <c r="I240" s="15">
        <f t="shared" si="8"/>
        <v>28000</v>
      </c>
      <c r="J240" s="15"/>
      <c r="K240" s="15"/>
      <c r="L240" s="15"/>
      <c r="M240" s="15"/>
      <c r="N240" s="15">
        <v>5</v>
      </c>
      <c r="O240" s="15">
        <v>28000</v>
      </c>
      <c r="P240" s="15"/>
      <c r="Q240" s="15"/>
      <c r="R240" s="16"/>
      <c r="S240" s="3"/>
      <c r="T240" s="3"/>
      <c r="U240" s="3"/>
      <c r="V240" s="3"/>
      <c r="W240" s="3"/>
      <c r="X240" s="3"/>
      <c r="Y240" s="3"/>
    </row>
    <row r="241" spans="1:25" ht="18" customHeight="1" x14ac:dyDescent="0.25">
      <c r="A241" s="9"/>
      <c r="B241" s="10"/>
      <c r="C241" s="10"/>
      <c r="D241" s="11">
        <v>24.9</v>
      </c>
      <c r="E241" s="70" t="s">
        <v>176</v>
      </c>
      <c r="F241" s="18" t="s">
        <v>17</v>
      </c>
      <c r="G241" s="15">
        <f t="shared" si="7"/>
        <v>2</v>
      </c>
      <c r="H241" s="15"/>
      <c r="I241" s="15">
        <f t="shared" si="8"/>
        <v>90000</v>
      </c>
      <c r="J241" s="15"/>
      <c r="K241" s="15"/>
      <c r="L241" s="15"/>
      <c r="M241" s="15"/>
      <c r="N241" s="15">
        <v>2</v>
      </c>
      <c r="O241" s="15">
        <v>90000</v>
      </c>
      <c r="P241" s="15"/>
      <c r="Q241" s="15"/>
      <c r="R241" s="16"/>
      <c r="S241" s="3"/>
      <c r="T241" s="3"/>
      <c r="U241" s="3"/>
      <c r="V241" s="3"/>
      <c r="W241" s="3"/>
      <c r="X241" s="3"/>
      <c r="Y241" s="3"/>
    </row>
    <row r="242" spans="1:25" ht="18" customHeight="1" x14ac:dyDescent="0.25">
      <c r="A242" s="9"/>
      <c r="B242" s="10"/>
      <c r="C242" s="10"/>
      <c r="D242" s="11">
        <v>24.1</v>
      </c>
      <c r="E242" s="70" t="s">
        <v>329</v>
      </c>
      <c r="F242" s="18" t="s">
        <v>17</v>
      </c>
      <c r="G242" s="15">
        <f t="shared" si="7"/>
        <v>12</v>
      </c>
      <c r="H242" s="15"/>
      <c r="I242" s="15">
        <f t="shared" si="8"/>
        <v>61000</v>
      </c>
      <c r="J242" s="15"/>
      <c r="K242" s="15"/>
      <c r="L242" s="15"/>
      <c r="M242" s="15"/>
      <c r="N242" s="15">
        <v>6</v>
      </c>
      <c r="O242" s="15">
        <v>30500</v>
      </c>
      <c r="P242" s="15">
        <v>6</v>
      </c>
      <c r="Q242" s="15">
        <v>30500</v>
      </c>
      <c r="R242" s="16"/>
      <c r="S242" s="3"/>
      <c r="T242" s="3"/>
      <c r="U242" s="3"/>
      <c r="V242" s="3"/>
      <c r="W242" s="3"/>
      <c r="X242" s="3"/>
      <c r="Y242" s="3"/>
    </row>
    <row r="243" spans="1:25" ht="18" customHeight="1" x14ac:dyDescent="0.25">
      <c r="A243" s="9"/>
      <c r="B243" s="10"/>
      <c r="C243" s="10"/>
      <c r="D243" s="11"/>
      <c r="E243" s="17"/>
      <c r="F243" s="39"/>
      <c r="G243" s="21"/>
      <c r="H243" s="21"/>
      <c r="I243" s="21">
        <f>SUM(I233:I241)</f>
        <v>2306300</v>
      </c>
      <c r="J243" s="15"/>
      <c r="K243" s="15"/>
      <c r="L243" s="15"/>
      <c r="M243" s="21">
        <f>SUM(M233:M239)</f>
        <v>293200</v>
      </c>
      <c r="N243" s="21"/>
      <c r="O243" s="21">
        <f>SUM(O233:O242)</f>
        <v>1263600</v>
      </c>
      <c r="P243" s="21"/>
      <c r="Q243" s="21">
        <f>SUM(Q233:Q242)</f>
        <v>810500</v>
      </c>
      <c r="R243" s="16"/>
      <c r="S243" s="3"/>
      <c r="T243" s="3"/>
      <c r="U243" s="3"/>
      <c r="V243" s="3"/>
      <c r="W243" s="3"/>
      <c r="X243" s="3"/>
      <c r="Y243" s="3"/>
    </row>
    <row r="244" spans="1:25" ht="18" customHeight="1" x14ac:dyDescent="0.25">
      <c r="A244" s="9"/>
      <c r="B244" s="10"/>
      <c r="C244" s="10"/>
      <c r="D244" s="11">
        <v>25</v>
      </c>
      <c r="E244" s="29" t="s">
        <v>177</v>
      </c>
      <c r="F244" s="39"/>
      <c r="G244" s="21"/>
      <c r="H244" s="21"/>
      <c r="I244" s="21"/>
      <c r="J244" s="15"/>
      <c r="K244" s="15"/>
      <c r="L244" s="15"/>
      <c r="M244" s="15"/>
      <c r="N244" s="15"/>
      <c r="O244" s="15"/>
      <c r="P244" s="15"/>
      <c r="Q244" s="15"/>
      <c r="R244" s="16"/>
      <c r="S244" s="3"/>
      <c r="T244" s="3"/>
      <c r="U244" s="3"/>
      <c r="V244" s="3"/>
      <c r="W244" s="3"/>
      <c r="X244" s="3"/>
      <c r="Y244" s="3"/>
    </row>
    <row r="245" spans="1:25" ht="15.75" customHeight="1" x14ac:dyDescent="0.25">
      <c r="A245" s="9"/>
      <c r="B245" s="10"/>
      <c r="C245" s="10"/>
      <c r="D245" s="11">
        <v>25.1</v>
      </c>
      <c r="E245" s="17" t="s">
        <v>178</v>
      </c>
      <c r="F245" s="18" t="s">
        <v>17</v>
      </c>
      <c r="G245" s="15">
        <v>12</v>
      </c>
      <c r="H245" s="15"/>
      <c r="I245" s="15">
        <f>K245+M245++O245+Q245</f>
        <v>736900</v>
      </c>
      <c r="J245" s="15">
        <v>12</v>
      </c>
      <c r="K245" s="15">
        <v>480000</v>
      </c>
      <c r="L245" s="15"/>
      <c r="M245" s="15"/>
      <c r="N245" s="15">
        <v>1</v>
      </c>
      <c r="O245" s="15">
        <v>36900</v>
      </c>
      <c r="P245" s="15">
        <v>4</v>
      </c>
      <c r="Q245" s="15">
        <v>220000</v>
      </c>
      <c r="R245" s="16"/>
      <c r="S245" s="3"/>
      <c r="T245" s="3"/>
      <c r="U245" s="3"/>
      <c r="V245" s="3"/>
      <c r="W245" s="3"/>
      <c r="X245" s="3"/>
      <c r="Y245" s="3"/>
    </row>
    <row r="246" spans="1:25" ht="15.75" customHeight="1" x14ac:dyDescent="0.25">
      <c r="A246" s="9"/>
      <c r="B246" s="10"/>
      <c r="C246" s="10"/>
      <c r="D246" s="11">
        <v>25.2</v>
      </c>
      <c r="E246" s="17" t="s">
        <v>179</v>
      </c>
      <c r="F246" s="18" t="s">
        <v>17</v>
      </c>
      <c r="G246" s="15">
        <f>J246+L246+N246+P246</f>
        <v>7</v>
      </c>
      <c r="H246" s="15"/>
      <c r="I246" s="15">
        <f t="shared" ref="I246:I291" si="9">K246+M246++O246+Q246</f>
        <v>226450</v>
      </c>
      <c r="J246" s="15">
        <v>1</v>
      </c>
      <c r="K246" s="15">
        <v>36500</v>
      </c>
      <c r="L246" s="15">
        <v>1</v>
      </c>
      <c r="M246" s="15">
        <v>36500</v>
      </c>
      <c r="N246" s="15">
        <f>2+1</f>
        <v>3</v>
      </c>
      <c r="O246" s="15">
        <f>47600+32850</f>
        <v>80450</v>
      </c>
      <c r="P246" s="15">
        <v>2</v>
      </c>
      <c r="Q246" s="15">
        <v>73000</v>
      </c>
      <c r="R246" s="16"/>
      <c r="S246" s="3"/>
      <c r="T246" s="3"/>
      <c r="U246" s="3"/>
      <c r="V246" s="3"/>
      <c r="W246" s="3"/>
      <c r="X246" s="3"/>
      <c r="Y246" s="3"/>
    </row>
    <row r="247" spans="1:25" ht="15.75" customHeight="1" x14ac:dyDescent="0.25">
      <c r="A247" s="9"/>
      <c r="B247" s="10"/>
      <c r="C247" s="10"/>
      <c r="D247" s="11">
        <v>25.3</v>
      </c>
      <c r="E247" s="17" t="s">
        <v>180</v>
      </c>
      <c r="F247" s="18" t="s">
        <v>17</v>
      </c>
      <c r="G247" s="15">
        <v>5</v>
      </c>
      <c r="H247" s="15"/>
      <c r="I247" s="15">
        <f t="shared" si="9"/>
        <v>40000</v>
      </c>
      <c r="J247" s="15">
        <v>5</v>
      </c>
      <c r="K247" s="15">
        <v>40000</v>
      </c>
      <c r="L247" s="15"/>
      <c r="M247" s="15"/>
      <c r="N247" s="15"/>
      <c r="O247" s="15"/>
      <c r="P247" s="15"/>
      <c r="Q247" s="15"/>
      <c r="R247" s="16"/>
      <c r="S247" s="3"/>
      <c r="T247" s="3"/>
      <c r="U247" s="3"/>
      <c r="V247" s="3"/>
      <c r="W247" s="3"/>
      <c r="X247" s="3"/>
      <c r="Y247" s="3"/>
    </row>
    <row r="248" spans="1:25" ht="15.75" customHeight="1" x14ac:dyDescent="0.25">
      <c r="A248" s="9"/>
      <c r="B248" s="10"/>
      <c r="C248" s="10"/>
      <c r="D248" s="11">
        <v>25.4</v>
      </c>
      <c r="E248" s="17" t="s">
        <v>181</v>
      </c>
      <c r="F248" s="18" t="s">
        <v>17</v>
      </c>
      <c r="G248" s="15">
        <v>2</v>
      </c>
      <c r="H248" s="15"/>
      <c r="I248" s="15">
        <f t="shared" si="9"/>
        <v>500000</v>
      </c>
      <c r="J248" s="15"/>
      <c r="K248" s="15"/>
      <c r="L248" s="15"/>
      <c r="M248" s="15"/>
      <c r="N248" s="15">
        <v>2</v>
      </c>
      <c r="O248" s="15">
        <v>500000</v>
      </c>
      <c r="P248" s="15"/>
      <c r="Q248" s="15"/>
      <c r="R248" s="16"/>
      <c r="S248" s="3"/>
      <c r="T248" s="3"/>
      <c r="U248" s="3"/>
      <c r="V248" s="3"/>
      <c r="W248" s="3"/>
      <c r="X248" s="3"/>
      <c r="Y248" s="3"/>
    </row>
    <row r="249" spans="1:25" ht="15.75" customHeight="1" x14ac:dyDescent="0.25">
      <c r="A249" s="9"/>
      <c r="B249" s="10"/>
      <c r="C249" s="10"/>
      <c r="D249" s="11">
        <v>25.5</v>
      </c>
      <c r="E249" s="17" t="s">
        <v>182</v>
      </c>
      <c r="F249" s="18" t="s">
        <v>17</v>
      </c>
      <c r="G249" s="15">
        <v>2</v>
      </c>
      <c r="H249" s="15"/>
      <c r="I249" s="15">
        <f t="shared" si="9"/>
        <v>120980</v>
      </c>
      <c r="J249" s="15">
        <v>2</v>
      </c>
      <c r="K249" s="15">
        <v>16000</v>
      </c>
      <c r="L249" s="15"/>
      <c r="M249" s="15"/>
      <c r="N249" s="15">
        <v>2</v>
      </c>
      <c r="O249" s="15">
        <v>33980</v>
      </c>
      <c r="P249" s="15">
        <v>5</v>
      </c>
      <c r="Q249" s="15">
        <v>71000</v>
      </c>
      <c r="R249" s="16"/>
      <c r="S249" s="3"/>
      <c r="T249" s="3"/>
      <c r="U249" s="3"/>
      <c r="V249" s="3"/>
      <c r="W249" s="3"/>
      <c r="X249" s="3"/>
      <c r="Y249" s="3"/>
    </row>
    <row r="250" spans="1:25" ht="15.75" customHeight="1" x14ac:dyDescent="0.25">
      <c r="A250" s="9"/>
      <c r="B250" s="10"/>
      <c r="C250" s="10"/>
      <c r="D250" s="11">
        <v>25.6</v>
      </c>
      <c r="E250" s="17" t="s">
        <v>183</v>
      </c>
      <c r="F250" s="18" t="s">
        <v>17</v>
      </c>
      <c r="G250" s="15">
        <v>7</v>
      </c>
      <c r="H250" s="15"/>
      <c r="I250" s="15">
        <f t="shared" si="9"/>
        <v>169190</v>
      </c>
      <c r="J250" s="15">
        <v>2</v>
      </c>
      <c r="K250" s="15">
        <v>40000</v>
      </c>
      <c r="L250" s="15">
        <v>5</v>
      </c>
      <c r="M250" s="15">
        <v>100000</v>
      </c>
      <c r="N250" s="15">
        <v>1</v>
      </c>
      <c r="O250" s="15">
        <v>9190</v>
      </c>
      <c r="P250" s="15">
        <v>1</v>
      </c>
      <c r="Q250" s="15">
        <v>20000</v>
      </c>
      <c r="R250" s="16"/>
      <c r="S250" s="3"/>
      <c r="T250" s="3"/>
      <c r="U250" s="3"/>
      <c r="V250" s="3"/>
      <c r="W250" s="3"/>
      <c r="X250" s="3"/>
      <c r="Y250" s="3"/>
    </row>
    <row r="251" spans="1:25" ht="15.75" customHeight="1" x14ac:dyDescent="0.25">
      <c r="A251" s="9"/>
      <c r="B251" s="10"/>
      <c r="C251" s="10"/>
      <c r="D251" s="11">
        <v>25.7</v>
      </c>
      <c r="E251" s="17" t="s">
        <v>184</v>
      </c>
      <c r="F251" s="18" t="s">
        <v>17</v>
      </c>
      <c r="G251" s="15">
        <v>4</v>
      </c>
      <c r="H251" s="15"/>
      <c r="I251" s="15">
        <f t="shared" si="9"/>
        <v>600000</v>
      </c>
      <c r="K251" s="19"/>
      <c r="L251" s="15">
        <v>1</v>
      </c>
      <c r="M251" s="15">
        <v>50000</v>
      </c>
      <c r="N251" s="15">
        <v>1</v>
      </c>
      <c r="O251" s="15">
        <v>50000</v>
      </c>
      <c r="P251" s="15">
        <v>2</v>
      </c>
      <c r="Q251" s="15">
        <v>500000</v>
      </c>
      <c r="R251" s="16"/>
      <c r="S251" s="3"/>
      <c r="T251" s="3"/>
      <c r="U251" s="3"/>
      <c r="V251" s="3"/>
      <c r="W251" s="3"/>
      <c r="X251" s="3"/>
      <c r="Y251" s="3"/>
    </row>
    <row r="252" spans="1:25" ht="15.75" customHeight="1" x14ac:dyDescent="0.25">
      <c r="A252" s="9"/>
      <c r="B252" s="10"/>
      <c r="C252" s="10"/>
      <c r="D252" s="11">
        <v>25.8</v>
      </c>
      <c r="E252" s="17" t="s">
        <v>185</v>
      </c>
      <c r="F252" s="18" t="s">
        <v>17</v>
      </c>
      <c r="G252" s="15">
        <v>2</v>
      </c>
      <c r="H252" s="15"/>
      <c r="I252" s="15">
        <f t="shared" si="9"/>
        <v>365000</v>
      </c>
      <c r="J252" s="15"/>
      <c r="K252" s="15"/>
      <c r="L252" s="15">
        <v>1</v>
      </c>
      <c r="M252" s="15">
        <v>70000</v>
      </c>
      <c r="N252" s="15">
        <v>1</v>
      </c>
      <c r="O252" s="15">
        <v>100000</v>
      </c>
      <c r="P252" s="15">
        <v>3</v>
      </c>
      <c r="Q252" s="15">
        <v>195000</v>
      </c>
      <c r="R252" s="16"/>
      <c r="S252" s="3"/>
      <c r="T252" s="3"/>
      <c r="U252" s="3"/>
      <c r="V252" s="3"/>
      <c r="W252" s="3"/>
      <c r="X252" s="3"/>
      <c r="Y252" s="3"/>
    </row>
    <row r="253" spans="1:25" ht="15.75" customHeight="1" x14ac:dyDescent="0.25">
      <c r="A253" s="9"/>
      <c r="B253" s="10"/>
      <c r="C253" s="10"/>
      <c r="D253" s="11">
        <v>25.9</v>
      </c>
      <c r="E253" s="17" t="s">
        <v>186</v>
      </c>
      <c r="F253" s="18" t="s">
        <v>17</v>
      </c>
      <c r="G253" s="15">
        <v>6</v>
      </c>
      <c r="H253" s="15"/>
      <c r="I253" s="15">
        <f t="shared" si="9"/>
        <v>138910</v>
      </c>
      <c r="J253" s="15"/>
      <c r="K253" s="15"/>
      <c r="L253" s="15">
        <v>2</v>
      </c>
      <c r="M253" s="15">
        <v>30000</v>
      </c>
      <c r="N253" s="15">
        <f>1+1+3</f>
        <v>5</v>
      </c>
      <c r="O253" s="15">
        <f>11950+9990+29970</f>
        <v>51910</v>
      </c>
      <c r="P253" s="15">
        <v>3</v>
      </c>
      <c r="Q253" s="15">
        <v>57000</v>
      </c>
      <c r="R253" s="16"/>
      <c r="S253" s="3"/>
      <c r="T253" s="3"/>
      <c r="U253" s="3"/>
      <c r="V253" s="3"/>
      <c r="W253" s="3"/>
      <c r="X253" s="3"/>
      <c r="Y253" s="3"/>
    </row>
    <row r="254" spans="1:25" ht="15.75" customHeight="1" x14ac:dyDescent="0.25">
      <c r="A254" s="9"/>
      <c r="B254" s="10"/>
      <c r="C254" s="10"/>
      <c r="D254" s="33">
        <v>25.1</v>
      </c>
      <c r="E254" s="17" t="s">
        <v>187</v>
      </c>
      <c r="F254" s="18" t="s">
        <v>17</v>
      </c>
      <c r="G254" s="15">
        <v>1</v>
      </c>
      <c r="H254" s="15"/>
      <c r="I254" s="15">
        <f t="shared" si="9"/>
        <v>130000</v>
      </c>
      <c r="J254" s="15"/>
      <c r="K254" s="15"/>
      <c r="L254" s="15"/>
      <c r="M254" s="15"/>
      <c r="N254" s="15">
        <v>1</v>
      </c>
      <c r="O254" s="15">
        <v>65000</v>
      </c>
      <c r="P254" s="15">
        <v>1</v>
      </c>
      <c r="Q254" s="15">
        <v>65000</v>
      </c>
      <c r="R254" s="18">
        <v>65000</v>
      </c>
      <c r="S254" s="3"/>
      <c r="T254" s="3"/>
      <c r="U254" s="3"/>
      <c r="V254" s="3"/>
      <c r="W254" s="3"/>
      <c r="X254" s="3"/>
      <c r="Y254" s="3"/>
    </row>
    <row r="255" spans="1:25" ht="15.75" customHeight="1" x14ac:dyDescent="0.25">
      <c r="A255" s="9"/>
      <c r="B255" s="10"/>
      <c r="C255" s="10"/>
      <c r="D255" s="11">
        <v>25.11</v>
      </c>
      <c r="E255" s="17" t="s">
        <v>188</v>
      </c>
      <c r="F255" s="18" t="s">
        <v>17</v>
      </c>
      <c r="G255" s="15">
        <v>3</v>
      </c>
      <c r="H255" s="15"/>
      <c r="I255" s="15">
        <f t="shared" si="9"/>
        <v>15000</v>
      </c>
      <c r="J255" s="15">
        <v>1</v>
      </c>
      <c r="K255" s="15">
        <v>5000</v>
      </c>
      <c r="L255" s="15">
        <v>1</v>
      </c>
      <c r="M255" s="15">
        <v>5000</v>
      </c>
      <c r="N255" s="15">
        <v>1</v>
      </c>
      <c r="O255" s="15">
        <v>5000</v>
      </c>
      <c r="P255" s="15"/>
      <c r="Q255" s="15"/>
      <c r="R255" s="16"/>
      <c r="S255" s="3"/>
      <c r="T255" s="3"/>
      <c r="U255" s="3"/>
      <c r="V255" s="3"/>
      <c r="W255" s="3"/>
      <c r="X255" s="3"/>
      <c r="Y255" s="3"/>
    </row>
    <row r="256" spans="1:25" ht="15.75" customHeight="1" x14ac:dyDescent="0.25">
      <c r="A256" s="9"/>
      <c r="B256" s="10"/>
      <c r="C256" s="10"/>
      <c r="D256" s="11">
        <v>25.12</v>
      </c>
      <c r="E256" s="17" t="s">
        <v>189</v>
      </c>
      <c r="F256" s="18" t="s">
        <v>17</v>
      </c>
      <c r="G256" s="15">
        <v>11</v>
      </c>
      <c r="H256" s="15"/>
      <c r="I256" s="15">
        <f t="shared" si="9"/>
        <v>275000</v>
      </c>
      <c r="J256" s="15"/>
      <c r="K256" s="15"/>
      <c r="L256" s="15"/>
      <c r="M256" s="15"/>
      <c r="N256" s="15">
        <v>11</v>
      </c>
      <c r="O256" s="15">
        <v>55000</v>
      </c>
      <c r="P256" s="15">
        <v>4</v>
      </c>
      <c r="Q256" s="15">
        <v>220000</v>
      </c>
      <c r="R256" s="16"/>
      <c r="S256" s="3"/>
      <c r="T256" s="3"/>
      <c r="U256" s="3"/>
      <c r="V256" s="3"/>
      <c r="W256" s="3"/>
      <c r="X256" s="3"/>
      <c r="Y256" s="3"/>
    </row>
    <row r="257" spans="1:25" ht="15.75" customHeight="1" x14ac:dyDescent="0.25">
      <c r="A257" s="9"/>
      <c r="B257" s="10"/>
      <c r="C257" s="10"/>
      <c r="D257" s="11">
        <v>25.13</v>
      </c>
      <c r="E257" s="17" t="s">
        <v>190</v>
      </c>
      <c r="F257" s="18" t="s">
        <v>17</v>
      </c>
      <c r="G257" s="15">
        <v>55</v>
      </c>
      <c r="H257" s="15"/>
      <c r="I257" s="15">
        <f t="shared" si="9"/>
        <v>27500</v>
      </c>
      <c r="J257" s="15">
        <v>13</v>
      </c>
      <c r="K257" s="15">
        <v>6500</v>
      </c>
      <c r="L257" s="15">
        <v>14</v>
      </c>
      <c r="M257" s="15">
        <v>7000</v>
      </c>
      <c r="N257" s="15">
        <v>14</v>
      </c>
      <c r="O257" s="15">
        <v>7000</v>
      </c>
      <c r="P257" s="15">
        <v>14</v>
      </c>
      <c r="Q257" s="15">
        <v>7000</v>
      </c>
      <c r="R257" s="16"/>
      <c r="S257" s="3"/>
      <c r="T257" s="3"/>
      <c r="U257" s="3"/>
      <c r="V257" s="3"/>
      <c r="W257" s="3"/>
      <c r="X257" s="3"/>
      <c r="Y257" s="3"/>
    </row>
    <row r="258" spans="1:25" ht="15.75" customHeight="1" x14ac:dyDescent="0.25">
      <c r="A258" s="9"/>
      <c r="B258" s="10"/>
      <c r="C258" s="10"/>
      <c r="D258" s="11">
        <v>25.14</v>
      </c>
      <c r="E258" s="17" t="s">
        <v>191</v>
      </c>
      <c r="F258" s="18" t="s">
        <v>17</v>
      </c>
      <c r="G258" s="15">
        <v>65</v>
      </c>
      <c r="H258" s="15"/>
      <c r="I258" s="15">
        <f t="shared" si="9"/>
        <v>19500</v>
      </c>
      <c r="J258" s="15">
        <v>16</v>
      </c>
      <c r="K258" s="15">
        <v>4800</v>
      </c>
      <c r="L258" s="15">
        <v>16</v>
      </c>
      <c r="M258" s="15">
        <v>4800</v>
      </c>
      <c r="N258" s="15">
        <v>16</v>
      </c>
      <c r="O258" s="15">
        <v>4800</v>
      </c>
      <c r="P258" s="15">
        <v>17</v>
      </c>
      <c r="Q258" s="15">
        <v>5100</v>
      </c>
      <c r="R258" s="16"/>
      <c r="S258" s="3"/>
      <c r="T258" s="3"/>
      <c r="U258" s="3"/>
      <c r="V258" s="3"/>
      <c r="W258" s="3"/>
      <c r="X258" s="3"/>
      <c r="Y258" s="3"/>
    </row>
    <row r="259" spans="1:25" ht="15.75" customHeight="1" x14ac:dyDescent="0.25">
      <c r="A259" s="9"/>
      <c r="B259" s="10"/>
      <c r="C259" s="10"/>
      <c r="D259" s="11">
        <v>25.15</v>
      </c>
      <c r="E259" s="17" t="s">
        <v>192</v>
      </c>
      <c r="F259" s="18" t="s">
        <v>17</v>
      </c>
      <c r="G259" s="15">
        <v>2</v>
      </c>
      <c r="H259" s="15"/>
      <c r="I259" s="15">
        <f t="shared" si="9"/>
        <v>40000</v>
      </c>
      <c r="J259" s="15"/>
      <c r="K259" s="15"/>
      <c r="L259" s="15"/>
      <c r="M259" s="15"/>
      <c r="N259" s="15">
        <v>2</v>
      </c>
      <c r="O259" s="15">
        <v>40000</v>
      </c>
      <c r="P259" s="15"/>
      <c r="Q259" s="15"/>
      <c r="R259" s="16"/>
      <c r="S259" s="3"/>
      <c r="T259" s="3"/>
      <c r="U259" s="3"/>
      <c r="V259" s="3"/>
      <c r="W259" s="3"/>
      <c r="X259" s="3"/>
      <c r="Y259" s="3"/>
    </row>
    <row r="260" spans="1:25" ht="15.75" customHeight="1" x14ac:dyDescent="0.25">
      <c r="A260" s="9"/>
      <c r="B260" s="10"/>
      <c r="C260" s="10"/>
      <c r="D260" s="11">
        <v>25.16</v>
      </c>
      <c r="E260" s="17" t="s">
        <v>193</v>
      </c>
      <c r="F260" s="18" t="s">
        <v>17</v>
      </c>
      <c r="G260" s="15">
        <v>85</v>
      </c>
      <c r="H260" s="15"/>
      <c r="I260" s="15">
        <f t="shared" si="9"/>
        <v>76500</v>
      </c>
      <c r="J260" s="15">
        <v>21</v>
      </c>
      <c r="K260" s="15">
        <v>18900</v>
      </c>
      <c r="L260" s="15">
        <v>21</v>
      </c>
      <c r="M260" s="15">
        <v>18900</v>
      </c>
      <c r="N260" s="15">
        <v>21</v>
      </c>
      <c r="O260" s="15">
        <v>18900</v>
      </c>
      <c r="P260" s="15">
        <v>22</v>
      </c>
      <c r="Q260" s="15">
        <v>19800</v>
      </c>
      <c r="R260" s="16"/>
      <c r="S260" s="3"/>
      <c r="T260" s="3"/>
      <c r="U260" s="3"/>
      <c r="V260" s="3"/>
      <c r="W260" s="3"/>
      <c r="X260" s="3"/>
      <c r="Y260" s="3"/>
    </row>
    <row r="261" spans="1:25" ht="15.75" customHeight="1" x14ac:dyDescent="0.25">
      <c r="A261" s="9"/>
      <c r="B261" s="10"/>
      <c r="C261" s="10"/>
      <c r="D261" s="11">
        <v>25.17</v>
      </c>
      <c r="E261" s="17" t="s">
        <v>194</v>
      </c>
      <c r="F261" s="18" t="s">
        <v>17</v>
      </c>
      <c r="G261" s="15">
        <v>3</v>
      </c>
      <c r="H261" s="15"/>
      <c r="I261" s="15">
        <f t="shared" si="9"/>
        <v>21000</v>
      </c>
      <c r="J261" s="15">
        <v>1</v>
      </c>
      <c r="K261" s="15">
        <v>7000</v>
      </c>
      <c r="L261" s="15">
        <v>1</v>
      </c>
      <c r="M261" s="15">
        <v>7000</v>
      </c>
      <c r="N261" s="15">
        <v>1</v>
      </c>
      <c r="O261" s="15">
        <v>7000</v>
      </c>
      <c r="P261" s="15"/>
      <c r="Q261" s="15"/>
      <c r="R261" s="16"/>
      <c r="S261" s="3"/>
      <c r="T261" s="3"/>
      <c r="U261" s="3"/>
      <c r="V261" s="3"/>
      <c r="W261" s="3"/>
      <c r="X261" s="3"/>
      <c r="Y261" s="3"/>
    </row>
    <row r="262" spans="1:25" ht="15.75" customHeight="1" x14ac:dyDescent="0.25">
      <c r="A262" s="9"/>
      <c r="B262" s="10"/>
      <c r="C262" s="10"/>
      <c r="D262" s="11">
        <v>25.18</v>
      </c>
      <c r="E262" s="17" t="s">
        <v>195</v>
      </c>
      <c r="F262" s="18" t="s">
        <v>17</v>
      </c>
      <c r="G262" s="15">
        <v>1</v>
      </c>
      <c r="H262" s="15"/>
      <c r="I262" s="15">
        <f t="shared" si="9"/>
        <v>20000</v>
      </c>
      <c r="J262" s="15"/>
      <c r="K262" s="15"/>
      <c r="L262" s="15"/>
      <c r="M262" s="15"/>
      <c r="N262" s="15"/>
      <c r="O262" s="15"/>
      <c r="P262" s="15">
        <v>1</v>
      </c>
      <c r="Q262" s="15">
        <v>20000</v>
      </c>
      <c r="R262" s="16"/>
      <c r="S262" s="3"/>
      <c r="T262" s="3"/>
      <c r="U262" s="3"/>
      <c r="V262" s="3"/>
      <c r="W262" s="3"/>
      <c r="X262" s="3"/>
      <c r="Y262" s="3"/>
    </row>
    <row r="263" spans="1:25" ht="15.75" customHeight="1" x14ac:dyDescent="0.25">
      <c r="A263" s="9"/>
      <c r="B263" s="10"/>
      <c r="C263" s="10"/>
      <c r="D263" s="11">
        <v>25.19</v>
      </c>
      <c r="E263" s="17" t="s">
        <v>196</v>
      </c>
      <c r="F263" s="18" t="s">
        <v>17</v>
      </c>
      <c r="G263" s="15">
        <v>20</v>
      </c>
      <c r="H263" s="15"/>
      <c r="I263" s="15">
        <f t="shared" si="9"/>
        <v>1242360</v>
      </c>
      <c r="J263" s="15">
        <v>5</v>
      </c>
      <c r="K263" s="15">
        <v>160000</v>
      </c>
      <c r="L263" s="15"/>
      <c r="M263" s="15"/>
      <c r="N263" s="15">
        <f>3+3+3+2</f>
        <v>11</v>
      </c>
      <c r="O263" s="15">
        <f>99960+99750+65700+96950</f>
        <v>362360</v>
      </c>
      <c r="P263" s="15">
        <v>19</v>
      </c>
      <c r="Q263" s="15">
        <v>720000</v>
      </c>
      <c r="R263" s="16"/>
      <c r="S263" s="3"/>
      <c r="T263" s="3"/>
      <c r="U263" s="3"/>
      <c r="V263" s="3"/>
      <c r="W263" s="3"/>
      <c r="X263" s="3"/>
      <c r="Y263" s="3"/>
    </row>
    <row r="264" spans="1:25" ht="15.75" customHeight="1" x14ac:dyDescent="0.25">
      <c r="A264" s="9"/>
      <c r="B264" s="10"/>
      <c r="C264" s="10"/>
      <c r="D264" s="11">
        <v>25.2</v>
      </c>
      <c r="E264" s="17" t="s">
        <v>197</v>
      </c>
      <c r="F264" s="18" t="s">
        <v>17</v>
      </c>
      <c r="G264" s="15">
        <v>20</v>
      </c>
      <c r="H264" s="15"/>
      <c r="I264" s="15">
        <f t="shared" si="9"/>
        <v>80000</v>
      </c>
      <c r="J264" s="15">
        <v>5</v>
      </c>
      <c r="K264" s="15">
        <v>20000</v>
      </c>
      <c r="L264" s="19">
        <v>5</v>
      </c>
      <c r="M264" s="15">
        <v>20000</v>
      </c>
      <c r="N264" s="15">
        <v>5</v>
      </c>
      <c r="O264" s="15">
        <v>20000</v>
      </c>
      <c r="P264" s="15">
        <v>5</v>
      </c>
      <c r="Q264" s="15">
        <v>20000</v>
      </c>
      <c r="R264" s="16"/>
      <c r="S264" s="3"/>
      <c r="T264" s="3"/>
      <c r="U264" s="3"/>
      <c r="V264" s="3"/>
      <c r="W264" s="3"/>
      <c r="X264" s="3"/>
      <c r="Y264" s="3"/>
    </row>
    <row r="265" spans="1:25" ht="15.75" customHeight="1" x14ac:dyDescent="0.25">
      <c r="A265" s="9"/>
      <c r="B265" s="10"/>
      <c r="C265" s="10"/>
      <c r="D265" s="11">
        <v>25.21</v>
      </c>
      <c r="E265" s="17" t="s">
        <v>198</v>
      </c>
      <c r="F265" s="18" t="s">
        <v>17</v>
      </c>
      <c r="G265" s="15">
        <v>4</v>
      </c>
      <c r="H265" s="15"/>
      <c r="I265" s="15">
        <f t="shared" si="9"/>
        <v>8000</v>
      </c>
      <c r="J265" s="15">
        <v>1</v>
      </c>
      <c r="K265" s="15">
        <v>2000</v>
      </c>
      <c r="L265" s="19">
        <v>1</v>
      </c>
      <c r="M265" s="15">
        <v>2000</v>
      </c>
      <c r="N265" s="15">
        <v>1</v>
      </c>
      <c r="O265" s="15">
        <v>2000</v>
      </c>
      <c r="P265" s="15">
        <v>1</v>
      </c>
      <c r="Q265" s="15">
        <v>2000</v>
      </c>
      <c r="R265" s="16"/>
      <c r="S265" s="3"/>
      <c r="T265" s="3"/>
      <c r="U265" s="3"/>
      <c r="V265" s="3"/>
      <c r="W265" s="3"/>
      <c r="X265" s="3"/>
      <c r="Y265" s="3"/>
    </row>
    <row r="266" spans="1:25" ht="15.75" customHeight="1" x14ac:dyDescent="0.25">
      <c r="A266" s="9"/>
      <c r="B266" s="10"/>
      <c r="C266" s="10"/>
      <c r="D266" s="11">
        <v>25.22</v>
      </c>
      <c r="E266" s="17" t="s">
        <v>199</v>
      </c>
      <c r="F266" s="18" t="s">
        <v>17</v>
      </c>
      <c r="G266" s="15">
        <v>700</v>
      </c>
      <c r="H266" s="15"/>
      <c r="I266" s="15">
        <f t="shared" si="9"/>
        <v>1400000</v>
      </c>
      <c r="J266" s="15">
        <v>175</v>
      </c>
      <c r="K266" s="15">
        <v>350000</v>
      </c>
      <c r="L266" s="15">
        <v>175</v>
      </c>
      <c r="M266" s="15">
        <v>350000</v>
      </c>
      <c r="N266" s="15">
        <v>175</v>
      </c>
      <c r="O266" s="15">
        <v>350000</v>
      </c>
      <c r="P266" s="15">
        <v>175</v>
      </c>
      <c r="Q266" s="15">
        <v>350000</v>
      </c>
      <c r="R266" s="16"/>
      <c r="S266" s="3"/>
      <c r="T266" s="3"/>
      <c r="U266" s="3"/>
      <c r="V266" s="3"/>
      <c r="W266" s="3"/>
      <c r="X266" s="3"/>
      <c r="Y266" s="3"/>
    </row>
    <row r="267" spans="1:25" ht="15.75" customHeight="1" x14ac:dyDescent="0.25">
      <c r="A267" s="9"/>
      <c r="B267" s="10"/>
      <c r="C267" s="10"/>
      <c r="D267" s="11">
        <v>25.23</v>
      </c>
      <c r="E267" s="17" t="s">
        <v>200</v>
      </c>
      <c r="F267" s="18"/>
      <c r="G267" s="15">
        <v>35</v>
      </c>
      <c r="H267" s="15"/>
      <c r="I267" s="15">
        <f t="shared" si="9"/>
        <v>70000</v>
      </c>
      <c r="J267" s="15"/>
      <c r="K267" s="15"/>
      <c r="L267" s="19">
        <v>35</v>
      </c>
      <c r="M267" s="15">
        <v>70000</v>
      </c>
      <c r="N267" s="15"/>
      <c r="O267" s="15"/>
      <c r="P267" s="15"/>
      <c r="Q267" s="15"/>
      <c r="R267" s="16"/>
      <c r="S267" s="3"/>
      <c r="T267" s="3"/>
      <c r="U267" s="3"/>
      <c r="V267" s="3"/>
      <c r="W267" s="3"/>
      <c r="X267" s="3"/>
      <c r="Y267" s="3"/>
    </row>
    <row r="268" spans="1:25" ht="15.75" customHeight="1" x14ac:dyDescent="0.25">
      <c r="A268" s="9"/>
      <c r="B268" s="10"/>
      <c r="C268" s="10"/>
      <c r="D268" s="11">
        <v>25.24</v>
      </c>
      <c r="E268" s="17" t="s">
        <v>201</v>
      </c>
      <c r="F268" s="18" t="s">
        <v>17</v>
      </c>
      <c r="G268" s="15">
        <v>21</v>
      </c>
      <c r="H268" s="15"/>
      <c r="I268" s="15">
        <f t="shared" si="9"/>
        <v>2068370</v>
      </c>
      <c r="J268" s="15"/>
      <c r="K268" s="15"/>
      <c r="L268" s="19"/>
      <c r="M268" s="15"/>
      <c r="N268" s="15">
        <v>20</v>
      </c>
      <c r="O268" s="15">
        <f>68370+500000</f>
        <v>568370</v>
      </c>
      <c r="P268" s="15">
        <v>1</v>
      </c>
      <c r="Q268" s="15">
        <v>1500000</v>
      </c>
      <c r="R268" s="16"/>
      <c r="S268" s="3"/>
      <c r="T268" s="3"/>
      <c r="U268" s="3"/>
      <c r="V268" s="3"/>
      <c r="W268" s="3"/>
      <c r="X268" s="3"/>
      <c r="Y268" s="3"/>
    </row>
    <row r="269" spans="1:25" ht="15.75" customHeight="1" x14ac:dyDescent="0.25">
      <c r="A269" s="9"/>
      <c r="B269" s="10"/>
      <c r="C269" s="10"/>
      <c r="D269" s="11">
        <v>25.25</v>
      </c>
      <c r="E269" s="17" t="s">
        <v>202</v>
      </c>
      <c r="F269" s="18" t="s">
        <v>17</v>
      </c>
      <c r="G269" s="15">
        <v>4</v>
      </c>
      <c r="H269" s="15"/>
      <c r="I269" s="15">
        <f t="shared" si="9"/>
        <v>14000</v>
      </c>
      <c r="J269" s="15"/>
      <c r="K269" s="15"/>
      <c r="L269" s="19"/>
      <c r="M269" s="15"/>
      <c r="N269" s="15">
        <v>4</v>
      </c>
      <c r="O269" s="15">
        <v>14000</v>
      </c>
      <c r="P269" s="15"/>
      <c r="Q269" s="15"/>
      <c r="R269" s="16"/>
      <c r="S269" s="3"/>
      <c r="T269" s="3"/>
      <c r="U269" s="3"/>
      <c r="V269" s="3"/>
      <c r="W269" s="3"/>
      <c r="X269" s="3"/>
      <c r="Y269" s="3"/>
    </row>
    <row r="270" spans="1:25" ht="15.75" customHeight="1" x14ac:dyDescent="0.25">
      <c r="A270" s="9"/>
      <c r="B270" s="10"/>
      <c r="C270" s="10"/>
      <c r="D270" s="11">
        <v>25.26</v>
      </c>
      <c r="E270" s="17" t="s">
        <v>203</v>
      </c>
      <c r="F270" s="18" t="s">
        <v>17</v>
      </c>
      <c r="G270" s="15">
        <v>1</v>
      </c>
      <c r="H270" s="15"/>
      <c r="I270" s="15">
        <f t="shared" si="9"/>
        <v>65000</v>
      </c>
      <c r="J270" s="15"/>
      <c r="K270" s="15"/>
      <c r="L270" s="19"/>
      <c r="M270" s="15"/>
      <c r="N270" s="15">
        <v>1</v>
      </c>
      <c r="O270" s="15">
        <v>65000</v>
      </c>
      <c r="P270" s="15"/>
      <c r="Q270" s="15"/>
      <c r="R270" s="16"/>
      <c r="S270" s="3"/>
      <c r="T270" s="3"/>
      <c r="U270" s="3"/>
      <c r="V270" s="3"/>
      <c r="W270" s="3"/>
      <c r="X270" s="3"/>
      <c r="Y270" s="3"/>
    </row>
    <row r="271" spans="1:25" ht="15.75" customHeight="1" x14ac:dyDescent="0.25">
      <c r="A271" s="9"/>
      <c r="B271" s="10"/>
      <c r="C271" s="10"/>
      <c r="D271" s="11">
        <v>25.27</v>
      </c>
      <c r="E271" s="17" t="s">
        <v>204</v>
      </c>
      <c r="F271" s="18" t="s">
        <v>17</v>
      </c>
      <c r="G271" s="15">
        <v>1</v>
      </c>
      <c r="H271" s="15"/>
      <c r="I271" s="15">
        <f t="shared" si="9"/>
        <v>5000</v>
      </c>
      <c r="J271" s="15"/>
      <c r="K271" s="15"/>
      <c r="L271" s="19"/>
      <c r="M271" s="15"/>
      <c r="N271" s="15">
        <v>1</v>
      </c>
      <c r="O271" s="15">
        <v>5000</v>
      </c>
      <c r="P271" s="15"/>
      <c r="Q271" s="15"/>
      <c r="R271" s="16"/>
      <c r="S271" s="3"/>
      <c r="T271" s="3"/>
      <c r="U271" s="3"/>
      <c r="V271" s="3"/>
      <c r="W271" s="3"/>
      <c r="X271" s="3"/>
      <c r="Y271" s="3"/>
    </row>
    <row r="272" spans="1:25" ht="15.75" customHeight="1" x14ac:dyDescent="0.25">
      <c r="A272" s="9"/>
      <c r="B272" s="10"/>
      <c r="C272" s="10"/>
      <c r="D272" s="11">
        <v>25.28</v>
      </c>
      <c r="E272" s="17" t="s">
        <v>205</v>
      </c>
      <c r="F272" s="18" t="s">
        <v>17</v>
      </c>
      <c r="G272" s="15">
        <v>3</v>
      </c>
      <c r="H272" s="15"/>
      <c r="I272" s="15">
        <f t="shared" si="9"/>
        <v>25170</v>
      </c>
      <c r="J272" s="15"/>
      <c r="K272" s="15"/>
      <c r="L272" s="19"/>
      <c r="M272" s="15"/>
      <c r="N272" s="15">
        <v>3</v>
      </c>
      <c r="O272" s="15">
        <v>25170</v>
      </c>
      <c r="P272" s="15"/>
      <c r="Q272" s="15"/>
      <c r="R272" s="16"/>
      <c r="S272" s="3"/>
      <c r="T272" s="3"/>
      <c r="U272" s="3"/>
      <c r="V272" s="3"/>
      <c r="W272" s="3"/>
      <c r="X272" s="3"/>
      <c r="Y272" s="3"/>
    </row>
    <row r="273" spans="1:25" ht="15.75" customHeight="1" x14ac:dyDescent="0.25">
      <c r="A273" s="9"/>
      <c r="B273" s="10"/>
      <c r="C273" s="10"/>
      <c r="D273" s="11">
        <v>25.29</v>
      </c>
      <c r="E273" s="17" t="s">
        <v>206</v>
      </c>
      <c r="F273" s="18" t="s">
        <v>17</v>
      </c>
      <c r="G273" s="15">
        <v>1</v>
      </c>
      <c r="H273" s="15"/>
      <c r="I273" s="15">
        <f t="shared" si="9"/>
        <v>25000</v>
      </c>
      <c r="J273" s="15"/>
      <c r="K273" s="15"/>
      <c r="L273" s="19"/>
      <c r="M273" s="15"/>
      <c r="N273" s="15">
        <v>1</v>
      </c>
      <c r="O273" s="15">
        <v>25000</v>
      </c>
      <c r="P273" s="15"/>
      <c r="Q273" s="15"/>
      <c r="R273" s="16"/>
      <c r="S273" s="3"/>
      <c r="T273" s="3"/>
      <c r="U273" s="3"/>
      <c r="V273" s="3"/>
      <c r="W273" s="3"/>
      <c r="X273" s="3"/>
      <c r="Y273" s="3"/>
    </row>
    <row r="274" spans="1:25" ht="15.75" customHeight="1" x14ac:dyDescent="0.25">
      <c r="A274" s="9"/>
      <c r="B274" s="10"/>
      <c r="C274" s="10"/>
      <c r="D274" s="11">
        <v>25.3</v>
      </c>
      <c r="E274" s="17" t="s">
        <v>207</v>
      </c>
      <c r="F274" s="18" t="s">
        <v>17</v>
      </c>
      <c r="G274" s="15">
        <v>1</v>
      </c>
      <c r="H274" s="15"/>
      <c r="I274" s="15">
        <f t="shared" si="9"/>
        <v>8000</v>
      </c>
      <c r="J274" s="15"/>
      <c r="K274" s="15"/>
      <c r="L274" s="19"/>
      <c r="M274" s="15"/>
      <c r="N274" s="15">
        <v>1</v>
      </c>
      <c r="O274" s="15">
        <v>8000</v>
      </c>
      <c r="P274" s="15"/>
      <c r="Q274" s="15"/>
      <c r="R274" s="16"/>
      <c r="S274" s="3"/>
      <c r="T274" s="3"/>
      <c r="U274" s="3"/>
      <c r="V274" s="3"/>
      <c r="W274" s="3"/>
      <c r="X274" s="3"/>
      <c r="Y274" s="3"/>
    </row>
    <row r="275" spans="1:25" ht="15.75" customHeight="1" x14ac:dyDescent="0.25">
      <c r="A275" s="9"/>
      <c r="B275" s="10"/>
      <c r="C275" s="10"/>
      <c r="D275" s="11">
        <v>25.31</v>
      </c>
      <c r="E275" s="17" t="s">
        <v>335</v>
      </c>
      <c r="F275" s="18" t="s">
        <v>17</v>
      </c>
      <c r="G275" s="15">
        <v>6</v>
      </c>
      <c r="H275" s="15"/>
      <c r="I275" s="15">
        <f t="shared" si="9"/>
        <v>52600</v>
      </c>
      <c r="J275" s="15"/>
      <c r="K275" s="15"/>
      <c r="L275" s="19"/>
      <c r="M275" s="15"/>
      <c r="N275" s="15">
        <v>4</v>
      </c>
      <c r="O275" s="15">
        <v>52600</v>
      </c>
      <c r="P275" s="15"/>
      <c r="Q275" s="15"/>
      <c r="R275" s="16"/>
      <c r="S275" s="3"/>
      <c r="T275" s="3"/>
      <c r="U275" s="3"/>
      <c r="V275" s="3"/>
      <c r="W275" s="3"/>
      <c r="X275" s="3"/>
      <c r="Y275" s="3"/>
    </row>
    <row r="276" spans="1:25" ht="15.75" customHeight="1" x14ac:dyDescent="0.25">
      <c r="A276" s="9"/>
      <c r="B276" s="10"/>
      <c r="C276" s="10"/>
      <c r="D276" s="11">
        <v>25.32</v>
      </c>
      <c r="E276" s="17" t="s">
        <v>208</v>
      </c>
      <c r="F276" s="18" t="s">
        <v>17</v>
      </c>
      <c r="G276" s="15">
        <v>1</v>
      </c>
      <c r="H276" s="15"/>
      <c r="I276" s="15">
        <f t="shared" si="9"/>
        <v>35000</v>
      </c>
      <c r="J276" s="15"/>
      <c r="K276" s="15"/>
      <c r="L276" s="19"/>
      <c r="M276" s="15"/>
      <c r="N276" s="15">
        <v>1</v>
      </c>
      <c r="O276" s="15">
        <v>35000</v>
      </c>
      <c r="P276" s="15"/>
      <c r="Q276" s="15"/>
      <c r="R276" s="16"/>
      <c r="S276" s="3"/>
      <c r="T276" s="3"/>
      <c r="U276" s="3"/>
      <c r="V276" s="3"/>
      <c r="W276" s="3"/>
      <c r="X276" s="3"/>
      <c r="Y276" s="3"/>
    </row>
    <row r="277" spans="1:25" ht="15.75" customHeight="1" x14ac:dyDescent="0.25">
      <c r="A277" s="9"/>
      <c r="B277" s="10"/>
      <c r="C277" s="10"/>
      <c r="D277" s="11">
        <v>25.33</v>
      </c>
      <c r="E277" s="17" t="s">
        <v>209</v>
      </c>
      <c r="F277" s="18" t="s">
        <v>17</v>
      </c>
      <c r="G277" s="15">
        <v>1</v>
      </c>
      <c r="H277" s="15"/>
      <c r="I277" s="15">
        <f t="shared" si="9"/>
        <v>2990</v>
      </c>
      <c r="J277" s="15"/>
      <c r="K277" s="15"/>
      <c r="L277" s="19"/>
      <c r="M277" s="15"/>
      <c r="N277" s="15">
        <v>1</v>
      </c>
      <c r="O277" s="15">
        <v>2990</v>
      </c>
      <c r="P277" s="15"/>
      <c r="Q277" s="15"/>
      <c r="R277" s="16"/>
      <c r="S277" s="3"/>
      <c r="T277" s="3"/>
      <c r="U277" s="3"/>
      <c r="V277" s="3"/>
      <c r="W277" s="3"/>
      <c r="X277" s="3"/>
      <c r="Y277" s="3"/>
    </row>
    <row r="278" spans="1:25" ht="15.75" customHeight="1" x14ac:dyDescent="0.25">
      <c r="A278" s="9"/>
      <c r="B278" s="10"/>
      <c r="C278" s="10"/>
      <c r="D278" s="11">
        <v>25.34</v>
      </c>
      <c r="E278" s="17" t="s">
        <v>210</v>
      </c>
      <c r="F278" s="18" t="s">
        <v>17</v>
      </c>
      <c r="G278" s="15">
        <v>1</v>
      </c>
      <c r="H278" s="15"/>
      <c r="I278" s="15">
        <f t="shared" si="9"/>
        <v>15600</v>
      </c>
      <c r="J278" s="15"/>
      <c r="K278" s="15"/>
      <c r="L278" s="19"/>
      <c r="M278" s="15"/>
      <c r="N278" s="15">
        <v>1</v>
      </c>
      <c r="O278" s="15">
        <v>15600</v>
      </c>
      <c r="P278" s="15"/>
      <c r="Q278" s="15"/>
      <c r="R278" s="16"/>
      <c r="S278" s="3"/>
      <c r="T278" s="3"/>
      <c r="U278" s="3"/>
      <c r="V278" s="3"/>
      <c r="W278" s="3"/>
      <c r="X278" s="3"/>
      <c r="Y278" s="3"/>
    </row>
    <row r="279" spans="1:25" ht="15.75" customHeight="1" x14ac:dyDescent="0.25">
      <c r="A279" s="9"/>
      <c r="B279" s="10"/>
      <c r="C279" s="10"/>
      <c r="D279" s="11">
        <v>25.35</v>
      </c>
      <c r="E279" s="17" t="s">
        <v>330</v>
      </c>
      <c r="F279" s="18" t="s">
        <v>17</v>
      </c>
      <c r="G279" s="15">
        <v>2</v>
      </c>
      <c r="H279" s="15"/>
      <c r="I279" s="15">
        <f t="shared" si="9"/>
        <v>28200</v>
      </c>
      <c r="J279" s="15"/>
      <c r="K279" s="15"/>
      <c r="L279" s="19"/>
      <c r="M279" s="15"/>
      <c r="N279" s="15">
        <v>2</v>
      </c>
      <c r="O279" s="15">
        <v>28200</v>
      </c>
      <c r="P279" s="15"/>
      <c r="Q279" s="15"/>
      <c r="R279" s="16"/>
      <c r="S279" s="3"/>
      <c r="T279" s="3"/>
      <c r="U279" s="3"/>
      <c r="V279" s="3"/>
      <c r="W279" s="3"/>
      <c r="X279" s="3"/>
      <c r="Y279" s="3"/>
    </row>
    <row r="280" spans="1:25" ht="15.75" customHeight="1" x14ac:dyDescent="0.25">
      <c r="A280" s="9"/>
      <c r="B280" s="10"/>
      <c r="C280" s="10"/>
      <c r="D280" s="11">
        <v>25.36</v>
      </c>
      <c r="E280" s="17" t="s">
        <v>332</v>
      </c>
      <c r="F280" s="18" t="s">
        <v>17</v>
      </c>
      <c r="G280" s="15">
        <f>N280</f>
        <v>7</v>
      </c>
      <c r="H280" s="15"/>
      <c r="I280" s="15">
        <f t="shared" si="9"/>
        <v>95000</v>
      </c>
      <c r="J280" s="15"/>
      <c r="K280" s="15"/>
      <c r="L280" s="19"/>
      <c r="M280" s="15"/>
      <c r="N280" s="15">
        <v>7</v>
      </c>
      <c r="O280" s="15">
        <v>95000</v>
      </c>
      <c r="P280" s="15"/>
      <c r="Q280" s="15"/>
      <c r="R280" s="16"/>
      <c r="S280" s="3"/>
      <c r="T280" s="3"/>
      <c r="U280" s="3"/>
      <c r="V280" s="3"/>
      <c r="W280" s="3"/>
      <c r="X280" s="3"/>
      <c r="Y280" s="3"/>
    </row>
    <row r="281" spans="1:25" ht="15.75" customHeight="1" x14ac:dyDescent="0.25">
      <c r="A281" s="9"/>
      <c r="B281" s="10"/>
      <c r="C281" s="10"/>
      <c r="D281" s="11">
        <v>25.37</v>
      </c>
      <c r="E281" s="17" t="s">
        <v>349</v>
      </c>
      <c r="F281" s="18" t="s">
        <v>17</v>
      </c>
      <c r="G281" s="15">
        <f t="shared" ref="G281:G291" si="10">N281</f>
        <v>3</v>
      </c>
      <c r="H281" s="15"/>
      <c r="I281" s="15">
        <f t="shared" si="9"/>
        <v>95000</v>
      </c>
      <c r="J281" s="15"/>
      <c r="K281" s="15"/>
      <c r="L281" s="19"/>
      <c r="M281" s="15"/>
      <c r="N281" s="15">
        <v>3</v>
      </c>
      <c r="O281" s="15">
        <v>95000</v>
      </c>
      <c r="P281" s="15"/>
      <c r="Q281" s="15"/>
      <c r="R281" s="16"/>
      <c r="S281" s="3"/>
      <c r="T281" s="3"/>
      <c r="U281" s="3"/>
      <c r="V281" s="3"/>
      <c r="W281" s="3"/>
      <c r="X281" s="3"/>
      <c r="Y281" s="3"/>
    </row>
    <row r="282" spans="1:25" ht="15.75" customHeight="1" x14ac:dyDescent="0.25">
      <c r="A282" s="9"/>
      <c r="B282" s="10"/>
      <c r="C282" s="10"/>
      <c r="D282" s="11">
        <v>25.38</v>
      </c>
      <c r="E282" s="17" t="s">
        <v>340</v>
      </c>
      <c r="F282" s="18" t="s">
        <v>17</v>
      </c>
      <c r="G282" s="15">
        <f t="shared" si="10"/>
        <v>3</v>
      </c>
      <c r="H282" s="15"/>
      <c r="I282" s="15">
        <f t="shared" si="9"/>
        <v>1710</v>
      </c>
      <c r="J282" s="15"/>
      <c r="K282" s="15"/>
      <c r="L282" s="19"/>
      <c r="M282" s="15"/>
      <c r="N282" s="15">
        <v>3</v>
      </c>
      <c r="O282" s="15">
        <v>1710</v>
      </c>
      <c r="P282" s="15"/>
      <c r="Q282" s="15"/>
      <c r="R282" s="16"/>
      <c r="S282" s="3"/>
      <c r="T282" s="3"/>
      <c r="U282" s="3"/>
      <c r="V282" s="3"/>
      <c r="W282" s="3"/>
      <c r="X282" s="3"/>
      <c r="Y282" s="3"/>
    </row>
    <row r="283" spans="1:25" ht="15.75" customHeight="1" x14ac:dyDescent="0.25">
      <c r="A283" s="9"/>
      <c r="B283" s="10"/>
      <c r="C283" s="10"/>
      <c r="D283" s="11">
        <v>25.39</v>
      </c>
      <c r="E283" s="17" t="s">
        <v>341</v>
      </c>
      <c r="F283" s="18" t="s">
        <v>17</v>
      </c>
      <c r="G283" s="15">
        <f t="shared" si="10"/>
        <v>1</v>
      </c>
      <c r="H283" s="15"/>
      <c r="I283" s="15">
        <f t="shared" si="9"/>
        <v>1050</v>
      </c>
      <c r="J283" s="15"/>
      <c r="K283" s="15"/>
      <c r="L283" s="19"/>
      <c r="M283" s="15"/>
      <c r="N283" s="15">
        <v>1</v>
      </c>
      <c r="O283" s="15">
        <v>1050</v>
      </c>
      <c r="P283" s="15"/>
      <c r="Q283" s="15"/>
      <c r="R283" s="16"/>
      <c r="S283" s="3"/>
      <c r="T283" s="3"/>
      <c r="U283" s="3"/>
      <c r="V283" s="3"/>
      <c r="W283" s="3"/>
      <c r="X283" s="3"/>
      <c r="Y283" s="3"/>
    </row>
    <row r="284" spans="1:25" ht="15.75" customHeight="1" x14ac:dyDescent="0.25">
      <c r="A284" s="9"/>
      <c r="B284" s="10"/>
      <c r="C284" s="10"/>
      <c r="D284" s="11">
        <v>25.4</v>
      </c>
      <c r="E284" s="17" t="s">
        <v>207</v>
      </c>
      <c r="F284" s="18" t="s">
        <v>17</v>
      </c>
      <c r="G284" s="15">
        <f t="shared" si="10"/>
        <v>2</v>
      </c>
      <c r="H284" s="15"/>
      <c r="I284" s="15">
        <f t="shared" si="9"/>
        <v>11980</v>
      </c>
      <c r="J284" s="15"/>
      <c r="K284" s="15"/>
      <c r="L284" s="19"/>
      <c r="M284" s="15"/>
      <c r="N284" s="15">
        <v>2</v>
      </c>
      <c r="O284" s="15">
        <v>11980</v>
      </c>
      <c r="P284" s="15"/>
      <c r="Q284" s="15"/>
      <c r="R284" s="16"/>
      <c r="S284" s="3"/>
      <c r="T284" s="3"/>
      <c r="U284" s="3"/>
      <c r="V284" s="3"/>
      <c r="W284" s="3"/>
      <c r="X284" s="3"/>
      <c r="Y284" s="3"/>
    </row>
    <row r="285" spans="1:25" ht="15.75" customHeight="1" x14ac:dyDescent="0.25">
      <c r="A285" s="9"/>
      <c r="B285" s="10"/>
      <c r="C285" s="10"/>
      <c r="D285" s="11">
        <v>25.41</v>
      </c>
      <c r="E285" s="17" t="s">
        <v>342</v>
      </c>
      <c r="F285" s="18" t="s">
        <v>17</v>
      </c>
      <c r="G285" s="15">
        <f t="shared" si="10"/>
        <v>3</v>
      </c>
      <c r="H285" s="15"/>
      <c r="I285" s="15">
        <f t="shared" si="9"/>
        <v>17070</v>
      </c>
      <c r="J285" s="15"/>
      <c r="K285" s="15"/>
      <c r="L285" s="19"/>
      <c r="M285" s="15"/>
      <c r="N285" s="15">
        <v>3</v>
      </c>
      <c r="O285" s="15">
        <v>17070</v>
      </c>
      <c r="P285" s="15"/>
      <c r="Q285" s="15"/>
      <c r="R285" s="16"/>
      <c r="S285" s="3"/>
      <c r="T285" s="3"/>
      <c r="U285" s="3"/>
      <c r="V285" s="3"/>
      <c r="W285" s="3"/>
      <c r="X285" s="3"/>
      <c r="Y285" s="3"/>
    </row>
    <row r="286" spans="1:25" ht="15.75" customHeight="1" x14ac:dyDescent="0.25">
      <c r="A286" s="9"/>
      <c r="B286" s="10"/>
      <c r="C286" s="10"/>
      <c r="D286" s="11">
        <v>25.42</v>
      </c>
      <c r="E286" s="17" t="s">
        <v>345</v>
      </c>
      <c r="F286" s="18" t="s">
        <v>17</v>
      </c>
      <c r="G286" s="15">
        <f t="shared" si="10"/>
        <v>3</v>
      </c>
      <c r="H286" s="15"/>
      <c r="I286" s="15">
        <f t="shared" si="9"/>
        <v>4970</v>
      </c>
      <c r="J286" s="15"/>
      <c r="K286" s="15"/>
      <c r="L286" s="19"/>
      <c r="M286" s="15"/>
      <c r="N286" s="15">
        <f>1+2</f>
        <v>3</v>
      </c>
      <c r="O286" s="15">
        <f>2590+2380</f>
        <v>4970</v>
      </c>
      <c r="P286" s="15"/>
      <c r="Q286" s="15"/>
      <c r="R286" s="16"/>
      <c r="S286" s="3"/>
      <c r="T286" s="3"/>
      <c r="U286" s="3"/>
      <c r="V286" s="3"/>
      <c r="W286" s="3"/>
      <c r="X286" s="3"/>
      <c r="Y286" s="3"/>
    </row>
    <row r="287" spans="1:25" ht="15.75" customHeight="1" x14ac:dyDescent="0.25">
      <c r="A287" s="9"/>
      <c r="B287" s="10"/>
      <c r="C287" s="10"/>
      <c r="D287" s="11">
        <v>25.43</v>
      </c>
      <c r="E287" s="17" t="s">
        <v>347</v>
      </c>
      <c r="F287" s="18" t="s">
        <v>17</v>
      </c>
      <c r="G287" s="15">
        <f t="shared" si="10"/>
        <v>1</v>
      </c>
      <c r="H287" s="15"/>
      <c r="I287" s="15">
        <f t="shared" si="9"/>
        <v>34000</v>
      </c>
      <c r="J287" s="15"/>
      <c r="K287" s="15"/>
      <c r="L287" s="19"/>
      <c r="M287" s="15"/>
      <c r="N287" s="15">
        <v>1</v>
      </c>
      <c r="O287" s="15">
        <v>34000</v>
      </c>
      <c r="P287" s="15"/>
      <c r="Q287" s="15"/>
      <c r="R287" s="16"/>
      <c r="S287" s="3"/>
      <c r="T287" s="3"/>
      <c r="U287" s="3"/>
      <c r="V287" s="3"/>
      <c r="W287" s="3"/>
      <c r="X287" s="3"/>
      <c r="Y287" s="3"/>
    </row>
    <row r="288" spans="1:25" ht="15.75" customHeight="1" x14ac:dyDescent="0.25">
      <c r="A288" s="9"/>
      <c r="B288" s="10"/>
      <c r="C288" s="10"/>
      <c r="D288" s="11">
        <v>25.44</v>
      </c>
      <c r="E288" s="17" t="s">
        <v>346</v>
      </c>
      <c r="F288" s="18" t="s">
        <v>17</v>
      </c>
      <c r="G288" s="15">
        <f t="shared" si="10"/>
        <v>1</v>
      </c>
      <c r="H288" s="15"/>
      <c r="I288" s="15">
        <f t="shared" si="9"/>
        <v>3035</v>
      </c>
      <c r="J288" s="15"/>
      <c r="K288" s="15"/>
      <c r="L288" s="19"/>
      <c r="M288" s="15"/>
      <c r="N288" s="15">
        <v>1</v>
      </c>
      <c r="O288" s="15">
        <v>3035</v>
      </c>
      <c r="P288" s="15"/>
      <c r="Q288" s="15"/>
      <c r="R288" s="16"/>
      <c r="S288" s="3"/>
      <c r="T288" s="3"/>
      <c r="U288" s="3"/>
      <c r="V288" s="3"/>
      <c r="W288" s="3"/>
      <c r="X288" s="3"/>
      <c r="Y288" s="3"/>
    </row>
    <row r="289" spans="1:25" ht="15.75" customHeight="1" x14ac:dyDescent="0.25">
      <c r="A289" s="9"/>
      <c r="B289" s="10"/>
      <c r="C289" s="10"/>
      <c r="D289" s="11">
        <v>25.45</v>
      </c>
      <c r="E289" s="17" t="s">
        <v>348</v>
      </c>
      <c r="F289" s="18" t="s">
        <v>17</v>
      </c>
      <c r="G289" s="15">
        <f t="shared" si="10"/>
        <v>3</v>
      </c>
      <c r="H289" s="15"/>
      <c r="I289" s="15">
        <f t="shared" si="9"/>
        <v>98970</v>
      </c>
      <c r="J289" s="15"/>
      <c r="K289" s="15"/>
      <c r="L289" s="19"/>
      <c r="M289" s="15"/>
      <c r="N289" s="15">
        <v>3</v>
      </c>
      <c r="O289" s="15">
        <v>98970</v>
      </c>
      <c r="P289" s="15"/>
      <c r="Q289" s="15"/>
      <c r="R289" s="16"/>
      <c r="S289" s="3"/>
      <c r="T289" s="3"/>
      <c r="U289" s="3"/>
      <c r="V289" s="3"/>
      <c r="W289" s="3"/>
      <c r="X289" s="3"/>
      <c r="Y289" s="3"/>
    </row>
    <row r="290" spans="1:25" ht="15.75" customHeight="1" x14ac:dyDescent="0.25">
      <c r="A290" s="9"/>
      <c r="B290" s="10"/>
      <c r="C290" s="10"/>
      <c r="D290" s="11">
        <v>25.46</v>
      </c>
      <c r="E290" s="17" t="s">
        <v>350</v>
      </c>
      <c r="F290" s="18" t="s">
        <v>17</v>
      </c>
      <c r="G290" s="15">
        <f t="shared" si="10"/>
        <v>1</v>
      </c>
      <c r="H290" s="15"/>
      <c r="I290" s="15">
        <f t="shared" si="9"/>
        <v>7000</v>
      </c>
      <c r="J290" s="15"/>
      <c r="K290" s="15"/>
      <c r="L290" s="19"/>
      <c r="M290" s="15"/>
      <c r="N290" s="15">
        <v>1</v>
      </c>
      <c r="O290" s="15">
        <v>7000</v>
      </c>
      <c r="P290" s="15"/>
      <c r="Q290" s="15"/>
      <c r="R290" s="16"/>
      <c r="S290" s="3"/>
      <c r="T290" s="3"/>
      <c r="U290" s="3"/>
      <c r="V290" s="3"/>
      <c r="W290" s="3"/>
      <c r="X290" s="3"/>
      <c r="Y290" s="3"/>
    </row>
    <row r="291" spans="1:25" ht="15.75" customHeight="1" x14ac:dyDescent="0.25">
      <c r="A291" s="9"/>
      <c r="B291" s="10"/>
      <c r="C291" s="10"/>
      <c r="D291" s="11">
        <v>25.47</v>
      </c>
      <c r="E291" s="17" t="s">
        <v>351</v>
      </c>
      <c r="F291" s="18" t="s">
        <v>17</v>
      </c>
      <c r="G291" s="15">
        <f t="shared" si="10"/>
        <v>1</v>
      </c>
      <c r="H291" s="15"/>
      <c r="I291" s="15">
        <f t="shared" si="9"/>
        <v>1090</v>
      </c>
      <c r="J291" s="15"/>
      <c r="K291" s="15"/>
      <c r="L291" s="19"/>
      <c r="M291" s="15"/>
      <c r="N291" s="15">
        <v>1</v>
      </c>
      <c r="O291" s="15">
        <v>1090</v>
      </c>
      <c r="P291" s="15"/>
      <c r="Q291" s="15"/>
      <c r="R291" s="16"/>
      <c r="S291" s="3"/>
      <c r="T291" s="3"/>
      <c r="U291" s="3"/>
      <c r="V291" s="3"/>
      <c r="W291" s="3"/>
      <c r="X291" s="3"/>
      <c r="Y291" s="3"/>
    </row>
    <row r="292" spans="1:25" s="7" customFormat="1" ht="15.75" customHeight="1" x14ac:dyDescent="0.25">
      <c r="A292" s="35"/>
      <c r="B292" s="36"/>
      <c r="C292" s="36"/>
      <c r="D292" s="11"/>
      <c r="E292" s="63"/>
      <c r="F292" s="39"/>
      <c r="G292" s="21"/>
      <c r="H292" s="21"/>
      <c r="I292" s="21">
        <f>SUM(I245:I291)</f>
        <v>9038095</v>
      </c>
      <c r="J292" s="21"/>
      <c r="K292" s="21">
        <f t="shared" ref="K292:Q292" si="11">SUM(K245:K291)</f>
        <v>1186700</v>
      </c>
      <c r="L292" s="21"/>
      <c r="M292" s="21">
        <f t="shared" si="11"/>
        <v>771200</v>
      </c>
      <c r="N292" s="21"/>
      <c r="O292" s="21">
        <f t="shared" si="11"/>
        <v>3015295</v>
      </c>
      <c r="P292" s="21"/>
      <c r="Q292" s="21">
        <f t="shared" si="11"/>
        <v>4064900</v>
      </c>
      <c r="R292" s="41"/>
      <c r="S292" s="85"/>
      <c r="T292" s="6"/>
      <c r="U292" s="6"/>
      <c r="V292" s="6"/>
      <c r="W292" s="6"/>
      <c r="X292" s="6"/>
      <c r="Y292" s="6"/>
    </row>
    <row r="293" spans="1:25" ht="15.75" customHeight="1" x14ac:dyDescent="0.25">
      <c r="A293" s="9"/>
      <c r="B293" s="10"/>
      <c r="C293" s="10"/>
      <c r="D293" s="11">
        <v>26</v>
      </c>
      <c r="E293" s="29" t="s">
        <v>211</v>
      </c>
      <c r="F293" s="18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6"/>
      <c r="S293" s="3"/>
      <c r="T293" s="3"/>
      <c r="U293" s="3"/>
      <c r="V293" s="3"/>
      <c r="W293" s="3"/>
      <c r="X293" s="3"/>
      <c r="Y293" s="3"/>
    </row>
    <row r="294" spans="1:25" ht="15.75" customHeight="1" x14ac:dyDescent="0.25">
      <c r="A294" s="9"/>
      <c r="B294" s="10"/>
      <c r="C294" s="10"/>
      <c r="D294" s="11">
        <v>26.1</v>
      </c>
      <c r="E294" s="17" t="s">
        <v>212</v>
      </c>
      <c r="F294" s="18" t="s">
        <v>17</v>
      </c>
      <c r="G294" s="15">
        <v>1</v>
      </c>
      <c r="H294" s="15"/>
      <c r="I294" s="15">
        <v>100000</v>
      </c>
      <c r="K294" s="19"/>
      <c r="L294" s="15">
        <v>1</v>
      </c>
      <c r="M294" s="15">
        <v>100000</v>
      </c>
      <c r="N294" s="15"/>
      <c r="O294" s="15"/>
      <c r="P294" s="15"/>
      <c r="Q294" s="15"/>
      <c r="R294" s="16"/>
      <c r="S294" s="3"/>
      <c r="T294" s="3"/>
      <c r="U294" s="3"/>
      <c r="V294" s="3"/>
      <c r="W294" s="3"/>
      <c r="X294" s="3"/>
      <c r="Y294" s="3"/>
    </row>
    <row r="295" spans="1:25" ht="15.75" customHeight="1" x14ac:dyDescent="0.25">
      <c r="A295" s="9"/>
      <c r="B295" s="10"/>
      <c r="C295" s="10"/>
      <c r="D295" s="11">
        <v>26.2</v>
      </c>
      <c r="E295" s="17" t="s">
        <v>213</v>
      </c>
      <c r="F295" s="18" t="s">
        <v>17</v>
      </c>
      <c r="G295" s="15">
        <v>2</v>
      </c>
      <c r="H295" s="15"/>
      <c r="I295" s="15">
        <v>608000</v>
      </c>
      <c r="J295" s="15"/>
      <c r="K295" s="15"/>
      <c r="L295" s="15"/>
      <c r="M295" s="15"/>
      <c r="N295" s="15"/>
      <c r="O295" s="15"/>
      <c r="P295" s="15">
        <v>2</v>
      </c>
      <c r="Q295" s="15">
        <v>608000</v>
      </c>
      <c r="R295" s="16"/>
      <c r="S295" s="3"/>
      <c r="T295" s="3"/>
      <c r="U295" s="3"/>
      <c r="V295" s="3"/>
      <c r="W295" s="3"/>
      <c r="X295" s="3"/>
      <c r="Y295" s="3"/>
    </row>
    <row r="296" spans="1:25" ht="15.75" customHeight="1" x14ac:dyDescent="0.25">
      <c r="A296" s="9"/>
      <c r="B296" s="10"/>
      <c r="C296" s="10"/>
      <c r="D296" s="11">
        <v>26.3</v>
      </c>
      <c r="E296" s="17" t="s">
        <v>214</v>
      </c>
      <c r="F296" s="18" t="s">
        <v>17</v>
      </c>
      <c r="G296" s="47">
        <v>100</v>
      </c>
      <c r="H296" s="15"/>
      <c r="I296" s="15">
        <v>170000</v>
      </c>
      <c r="J296" s="15"/>
      <c r="K296" s="15"/>
      <c r="L296" s="15"/>
      <c r="M296" s="15"/>
      <c r="N296" s="15">
        <v>12</v>
      </c>
      <c r="O296" s="15">
        <v>95160</v>
      </c>
      <c r="P296" s="10"/>
      <c r="Q296" s="10"/>
      <c r="R296" s="16"/>
      <c r="S296" s="3"/>
      <c r="T296" s="3"/>
      <c r="U296" s="3"/>
      <c r="V296" s="3"/>
      <c r="W296" s="3"/>
      <c r="X296" s="3"/>
      <c r="Y296" s="3"/>
    </row>
    <row r="297" spans="1:25" ht="15.75" customHeight="1" x14ac:dyDescent="0.25">
      <c r="A297" s="9"/>
      <c r="B297" s="10"/>
      <c r="C297" s="10"/>
      <c r="D297" s="11">
        <v>26.4</v>
      </c>
      <c r="E297" s="17" t="s">
        <v>215</v>
      </c>
      <c r="F297" s="18" t="s">
        <v>17</v>
      </c>
      <c r="G297" s="15">
        <f>N297</f>
        <v>150</v>
      </c>
      <c r="H297" s="15">
        <f>O297</f>
        <v>83060</v>
      </c>
      <c r="I297" s="15">
        <f>O297</f>
        <v>83060</v>
      </c>
      <c r="J297" s="15"/>
      <c r="K297" s="15"/>
      <c r="L297" s="15"/>
      <c r="M297" s="15"/>
      <c r="N297" s="15">
        <v>150</v>
      </c>
      <c r="O297" s="15">
        <v>83060</v>
      </c>
      <c r="P297" s="15"/>
      <c r="Q297" s="15"/>
      <c r="R297" s="16"/>
      <c r="S297" s="3"/>
      <c r="T297" s="3"/>
      <c r="U297" s="3"/>
      <c r="V297" s="3"/>
      <c r="W297" s="3"/>
      <c r="X297" s="3"/>
      <c r="Y297" s="3"/>
    </row>
    <row r="298" spans="1:25" ht="15.75" customHeight="1" x14ac:dyDescent="0.25">
      <c r="A298" s="9"/>
      <c r="B298" s="10"/>
      <c r="C298" s="10"/>
      <c r="D298" s="11">
        <v>26.5</v>
      </c>
      <c r="E298" s="17" t="s">
        <v>216</v>
      </c>
      <c r="F298" s="18" t="s">
        <v>17</v>
      </c>
      <c r="G298" s="15">
        <v>1</v>
      </c>
      <c r="H298" s="15"/>
      <c r="I298" s="15">
        <v>50000</v>
      </c>
      <c r="J298" s="15"/>
      <c r="K298" s="15"/>
      <c r="L298" s="15"/>
      <c r="M298" s="15"/>
      <c r="N298" s="15">
        <v>1</v>
      </c>
      <c r="O298" s="15">
        <v>50000</v>
      </c>
      <c r="P298" s="15"/>
      <c r="Q298" s="15"/>
      <c r="R298" s="16"/>
      <c r="S298" s="3"/>
      <c r="T298" s="3"/>
      <c r="U298" s="3"/>
      <c r="V298" s="3"/>
      <c r="W298" s="3"/>
      <c r="X298" s="3"/>
      <c r="Y298" s="3"/>
    </row>
    <row r="299" spans="1:25" ht="15.75" customHeight="1" x14ac:dyDescent="0.25">
      <c r="A299" s="9"/>
      <c r="B299" s="10"/>
      <c r="C299" s="10"/>
      <c r="D299" s="11">
        <v>26.6</v>
      </c>
      <c r="E299" s="17" t="s">
        <v>217</v>
      </c>
      <c r="F299" s="18" t="s">
        <v>17</v>
      </c>
      <c r="G299" s="15">
        <v>5</v>
      </c>
      <c r="H299" s="15"/>
      <c r="I299" s="15">
        <v>225000</v>
      </c>
      <c r="J299" s="15"/>
      <c r="K299" s="15"/>
      <c r="L299" s="15"/>
      <c r="M299" s="15"/>
      <c r="N299" s="15">
        <v>5</v>
      </c>
      <c r="O299" s="15">
        <v>225000</v>
      </c>
      <c r="P299" s="15"/>
      <c r="Q299" s="15"/>
      <c r="R299" s="16"/>
      <c r="S299" s="3"/>
      <c r="T299" s="3"/>
      <c r="U299" s="3"/>
      <c r="V299" s="3"/>
      <c r="W299" s="3"/>
      <c r="X299" s="3"/>
      <c r="Y299" s="3"/>
    </row>
    <row r="300" spans="1:25" ht="15.75" customHeight="1" x14ac:dyDescent="0.25">
      <c r="A300" s="9"/>
      <c r="B300" s="10"/>
      <c r="C300" s="10"/>
      <c r="D300" s="11">
        <v>26.7</v>
      </c>
      <c r="E300" s="17" t="s">
        <v>218</v>
      </c>
      <c r="F300" s="18" t="s">
        <v>17</v>
      </c>
      <c r="G300" s="15">
        <v>1</v>
      </c>
      <c r="H300" s="15"/>
      <c r="I300" s="15">
        <v>40000</v>
      </c>
      <c r="J300" s="15">
        <v>1</v>
      </c>
      <c r="K300" s="15">
        <v>40000</v>
      </c>
      <c r="L300" s="15"/>
      <c r="M300" s="15"/>
      <c r="N300" s="15"/>
      <c r="O300" s="15"/>
      <c r="P300" s="15"/>
      <c r="Q300" s="15"/>
      <c r="R300" s="16"/>
      <c r="S300" s="3"/>
      <c r="T300" s="3"/>
      <c r="U300" s="3"/>
      <c r="V300" s="3"/>
      <c r="W300" s="3"/>
      <c r="X300" s="3"/>
      <c r="Y300" s="3"/>
    </row>
    <row r="301" spans="1:25" ht="15.75" customHeight="1" x14ac:dyDescent="0.25">
      <c r="A301" s="9"/>
      <c r="B301" s="10"/>
      <c r="C301" s="10"/>
      <c r="D301" s="11">
        <v>26.8</v>
      </c>
      <c r="E301" s="17" t="s">
        <v>219</v>
      </c>
      <c r="F301" s="18" t="s">
        <v>17</v>
      </c>
      <c r="G301" s="15"/>
      <c r="H301" s="15"/>
      <c r="I301" s="15">
        <v>70500</v>
      </c>
      <c r="J301" s="15"/>
      <c r="K301" s="15"/>
      <c r="L301" s="15"/>
      <c r="M301" s="15"/>
      <c r="N301" s="15"/>
      <c r="O301" s="15">
        <v>70500</v>
      </c>
      <c r="P301" s="15"/>
      <c r="Q301" s="15">
        <f>504000-70500</f>
        <v>433500</v>
      </c>
      <c r="R301" s="16"/>
      <c r="S301" s="3"/>
      <c r="T301" s="3"/>
      <c r="U301" s="3"/>
      <c r="V301" s="3"/>
      <c r="W301" s="3"/>
      <c r="X301" s="3"/>
      <c r="Y301" s="3"/>
    </row>
    <row r="302" spans="1:25" ht="15.75" customHeight="1" x14ac:dyDescent="0.25">
      <c r="A302" s="9"/>
      <c r="B302" s="10"/>
      <c r="C302" s="10"/>
      <c r="D302" s="11">
        <v>26.9</v>
      </c>
      <c r="E302" s="17" t="s">
        <v>220</v>
      </c>
      <c r="F302" s="18" t="s">
        <v>17</v>
      </c>
      <c r="G302" s="15">
        <v>1</v>
      </c>
      <c r="H302" s="15"/>
      <c r="I302" s="15">
        <v>23000</v>
      </c>
      <c r="J302" s="15">
        <v>1</v>
      </c>
      <c r="K302" s="15">
        <v>23000</v>
      </c>
      <c r="L302" s="15"/>
      <c r="M302" s="15"/>
      <c r="N302" s="15"/>
      <c r="O302" s="15"/>
      <c r="P302" s="15"/>
      <c r="Q302" s="15"/>
      <c r="R302" s="16"/>
      <c r="S302" s="3"/>
      <c r="T302" s="3"/>
      <c r="U302" s="3"/>
      <c r="V302" s="3"/>
      <c r="W302" s="3"/>
      <c r="X302" s="3"/>
      <c r="Y302" s="3"/>
    </row>
    <row r="303" spans="1:25" ht="15.75" customHeight="1" x14ac:dyDescent="0.25">
      <c r="A303" s="9"/>
      <c r="B303" s="10"/>
      <c r="C303" s="10"/>
      <c r="D303" s="33">
        <v>26.1</v>
      </c>
      <c r="E303" s="17" t="s">
        <v>221</v>
      </c>
      <c r="F303" s="18" t="s">
        <v>17</v>
      </c>
      <c r="G303" s="15">
        <v>35</v>
      </c>
      <c r="H303" s="15"/>
      <c r="I303" s="15">
        <v>203000</v>
      </c>
      <c r="J303" s="15">
        <v>8</v>
      </c>
      <c r="K303" s="15">
        <v>46400</v>
      </c>
      <c r="L303" s="15">
        <v>9</v>
      </c>
      <c r="M303" s="15">
        <v>52200</v>
      </c>
      <c r="N303" s="15">
        <v>9</v>
      </c>
      <c r="O303" s="15">
        <v>52200</v>
      </c>
      <c r="P303" s="15">
        <v>9</v>
      </c>
      <c r="Q303" s="15">
        <v>52200</v>
      </c>
      <c r="R303" s="16"/>
      <c r="S303" s="3"/>
      <c r="T303" s="3"/>
      <c r="U303" s="3"/>
      <c r="V303" s="3"/>
      <c r="W303" s="3"/>
      <c r="X303" s="3"/>
      <c r="Y303" s="3"/>
    </row>
    <row r="304" spans="1:25" ht="15.75" customHeight="1" x14ac:dyDescent="0.25">
      <c r="A304" s="9"/>
      <c r="B304" s="10"/>
      <c r="C304" s="10"/>
      <c r="D304" s="11">
        <v>26.11</v>
      </c>
      <c r="E304" s="17" t="s">
        <v>222</v>
      </c>
      <c r="F304" s="18" t="s">
        <v>17</v>
      </c>
      <c r="G304" s="15">
        <v>1</v>
      </c>
      <c r="H304" s="15"/>
      <c r="I304" s="15">
        <v>43000</v>
      </c>
      <c r="J304" s="15">
        <v>1</v>
      </c>
      <c r="K304" s="15">
        <v>43000</v>
      </c>
      <c r="L304" s="15"/>
      <c r="M304" s="15"/>
      <c r="N304" s="15"/>
      <c r="O304" s="15"/>
      <c r="P304" s="15"/>
      <c r="Q304" s="15"/>
      <c r="R304" s="16"/>
      <c r="S304" s="3"/>
      <c r="T304" s="3"/>
      <c r="U304" s="3"/>
      <c r="V304" s="3"/>
      <c r="W304" s="3"/>
      <c r="X304" s="3"/>
      <c r="Y304" s="3"/>
    </row>
    <row r="305" spans="1:25" ht="15.75" customHeight="1" x14ac:dyDescent="0.25">
      <c r="A305" s="9"/>
      <c r="B305" s="10"/>
      <c r="C305" s="10"/>
      <c r="D305" s="11">
        <v>26.12</v>
      </c>
      <c r="E305" s="17" t="s">
        <v>223</v>
      </c>
      <c r="F305" s="18" t="s">
        <v>17</v>
      </c>
      <c r="G305" s="15">
        <v>1</v>
      </c>
      <c r="H305" s="15"/>
      <c r="I305" s="15">
        <v>50000</v>
      </c>
      <c r="J305" s="19"/>
      <c r="L305" s="15"/>
      <c r="M305" s="15"/>
      <c r="N305" s="15">
        <v>1</v>
      </c>
      <c r="O305" s="15">
        <v>50000</v>
      </c>
      <c r="P305" s="15"/>
      <c r="Q305" s="15"/>
      <c r="R305" s="16"/>
      <c r="S305" s="3"/>
      <c r="T305" s="3"/>
      <c r="U305" s="3"/>
      <c r="V305" s="3"/>
      <c r="W305" s="3"/>
      <c r="X305" s="3"/>
      <c r="Y305" s="3"/>
    </row>
    <row r="306" spans="1:25" ht="15.75" customHeight="1" x14ac:dyDescent="0.25">
      <c r="A306" s="9"/>
      <c r="B306" s="10"/>
      <c r="C306" s="10"/>
      <c r="D306" s="11">
        <v>26.13</v>
      </c>
      <c r="E306" s="17" t="s">
        <v>224</v>
      </c>
      <c r="F306" s="18" t="s">
        <v>17</v>
      </c>
      <c r="G306" s="15">
        <v>30</v>
      </c>
      <c r="H306" s="15"/>
      <c r="I306" s="15">
        <v>300000</v>
      </c>
      <c r="J306" s="15"/>
      <c r="K306" s="15"/>
      <c r="L306" s="15"/>
      <c r="M306" s="15"/>
      <c r="N306" s="15"/>
      <c r="O306" s="15"/>
      <c r="P306" s="15">
        <v>30</v>
      </c>
      <c r="Q306" s="15">
        <v>300000</v>
      </c>
      <c r="R306" s="16"/>
      <c r="S306" s="3"/>
      <c r="T306" s="3"/>
      <c r="U306" s="3"/>
      <c r="V306" s="3"/>
      <c r="W306" s="3"/>
      <c r="X306" s="3"/>
      <c r="Y306" s="3"/>
    </row>
    <row r="307" spans="1:25" ht="15.75" customHeight="1" x14ac:dyDescent="0.25">
      <c r="A307" s="9"/>
      <c r="B307" s="10"/>
      <c r="C307" s="10"/>
      <c r="D307" s="11">
        <v>26.14</v>
      </c>
      <c r="E307" s="17" t="s">
        <v>225</v>
      </c>
      <c r="F307" s="18" t="s">
        <v>17</v>
      </c>
      <c r="G307" s="15">
        <v>1</v>
      </c>
      <c r="H307" s="15"/>
      <c r="I307" s="15">
        <v>122000</v>
      </c>
      <c r="J307" s="19"/>
      <c r="K307" s="19"/>
      <c r="L307" s="15"/>
      <c r="M307" s="15"/>
      <c r="N307" s="15">
        <v>1</v>
      </c>
      <c r="O307" s="15">
        <v>122000</v>
      </c>
      <c r="P307" s="15"/>
      <c r="Q307" s="15"/>
      <c r="R307" s="16"/>
      <c r="S307" s="3"/>
      <c r="T307" s="3"/>
      <c r="U307" s="3"/>
      <c r="V307" s="3"/>
      <c r="W307" s="3"/>
      <c r="X307" s="3"/>
      <c r="Y307" s="3"/>
    </row>
    <row r="308" spans="1:25" ht="15.75" customHeight="1" x14ac:dyDescent="0.25">
      <c r="A308" s="9"/>
      <c r="B308" s="10"/>
      <c r="C308" s="10"/>
      <c r="D308" s="11">
        <v>26.15</v>
      </c>
      <c r="E308" s="17" t="s">
        <v>226</v>
      </c>
      <c r="F308" s="18" t="s">
        <v>17</v>
      </c>
      <c r="G308" s="15">
        <v>1</v>
      </c>
      <c r="H308" s="15"/>
      <c r="I308" s="15">
        <v>120000</v>
      </c>
      <c r="J308" s="19"/>
      <c r="L308" s="15"/>
      <c r="M308" s="15"/>
      <c r="N308" s="15">
        <v>1</v>
      </c>
      <c r="O308" s="15">
        <v>120000</v>
      </c>
      <c r="P308" s="15"/>
      <c r="Q308" s="15"/>
      <c r="R308" s="16"/>
      <c r="S308" s="3"/>
      <c r="T308" s="3"/>
      <c r="U308" s="3"/>
      <c r="V308" s="3"/>
      <c r="W308" s="3"/>
      <c r="X308" s="3"/>
      <c r="Y308" s="3"/>
    </row>
    <row r="309" spans="1:25" ht="16.5" customHeight="1" x14ac:dyDescent="0.25">
      <c r="A309" s="9"/>
      <c r="B309" s="10"/>
      <c r="C309" s="10"/>
      <c r="D309" s="11">
        <v>26.16</v>
      </c>
      <c r="E309" s="17" t="s">
        <v>227</v>
      </c>
      <c r="F309" s="18" t="s">
        <v>17</v>
      </c>
      <c r="G309" s="15">
        <v>1</v>
      </c>
      <c r="H309" s="15"/>
      <c r="I309" s="15">
        <v>7500</v>
      </c>
      <c r="J309" s="15">
        <v>1</v>
      </c>
      <c r="K309" s="15">
        <v>7500</v>
      </c>
      <c r="M309" s="15"/>
      <c r="N309" s="15"/>
      <c r="O309" s="15"/>
      <c r="P309" s="15"/>
      <c r="Q309" s="15"/>
      <c r="R309" s="16"/>
      <c r="S309" s="3"/>
      <c r="T309" s="3"/>
      <c r="U309" s="3"/>
      <c r="V309" s="3"/>
      <c r="W309" s="3"/>
      <c r="X309" s="3"/>
      <c r="Y309" s="3"/>
    </row>
    <row r="310" spans="1:25" ht="15.75" customHeight="1" x14ac:dyDescent="0.25">
      <c r="A310" s="9"/>
      <c r="B310" s="10"/>
      <c r="C310" s="10"/>
      <c r="D310" s="11">
        <v>26.17</v>
      </c>
      <c r="E310" s="17" t="s">
        <v>228</v>
      </c>
      <c r="F310" s="18" t="s">
        <v>17</v>
      </c>
      <c r="G310" s="15">
        <v>5</v>
      </c>
      <c r="H310" s="15"/>
      <c r="I310" s="15">
        <v>25000</v>
      </c>
      <c r="J310" s="15"/>
      <c r="K310" s="15"/>
      <c r="L310" s="15">
        <v>5</v>
      </c>
      <c r="M310" s="15">
        <v>25000</v>
      </c>
      <c r="N310" s="15"/>
      <c r="O310" s="15"/>
      <c r="P310" s="15"/>
      <c r="Q310" s="15"/>
      <c r="R310" s="16"/>
      <c r="S310" s="3"/>
      <c r="T310" s="3"/>
      <c r="U310" s="3"/>
      <c r="V310" s="3"/>
      <c r="W310" s="3"/>
      <c r="X310" s="3"/>
      <c r="Y310" s="3"/>
    </row>
    <row r="311" spans="1:25" ht="15.75" customHeight="1" x14ac:dyDescent="0.25">
      <c r="A311" s="9"/>
      <c r="B311" s="10"/>
      <c r="C311" s="10"/>
      <c r="D311" s="11">
        <v>26.18</v>
      </c>
      <c r="E311" s="17" t="s">
        <v>229</v>
      </c>
      <c r="F311" s="18" t="s">
        <v>17</v>
      </c>
      <c r="G311" s="15">
        <v>1</v>
      </c>
      <c r="H311" s="15"/>
      <c r="I311" s="15">
        <v>350000</v>
      </c>
      <c r="J311" s="15"/>
      <c r="K311" s="15"/>
      <c r="L311" s="15"/>
      <c r="M311" s="15"/>
      <c r="N311" s="15">
        <v>1</v>
      </c>
      <c r="O311" s="15">
        <v>350000</v>
      </c>
      <c r="P311" s="15"/>
      <c r="Q311" s="15"/>
      <c r="R311" s="16"/>
      <c r="S311" s="3"/>
      <c r="T311" s="3"/>
      <c r="U311" s="3"/>
      <c r="V311" s="3"/>
      <c r="W311" s="3"/>
      <c r="X311" s="3"/>
      <c r="Y311" s="3"/>
    </row>
    <row r="312" spans="1:25" ht="15.75" customHeight="1" x14ac:dyDescent="0.25">
      <c r="A312" s="9"/>
      <c r="B312" s="10"/>
      <c r="C312" s="10"/>
      <c r="D312" s="11">
        <v>26.19</v>
      </c>
      <c r="E312" s="17" t="s">
        <v>230</v>
      </c>
      <c r="F312" s="18" t="s">
        <v>17</v>
      </c>
      <c r="G312" s="15">
        <v>73</v>
      </c>
      <c r="H312" s="15"/>
      <c r="I312" s="15">
        <v>729000</v>
      </c>
      <c r="J312" s="15"/>
      <c r="K312" s="15"/>
      <c r="L312" s="15"/>
      <c r="M312" s="15"/>
      <c r="N312" s="15">
        <v>73</v>
      </c>
      <c r="O312" s="15">
        <v>729000</v>
      </c>
      <c r="P312" s="15"/>
      <c r="Q312" s="15"/>
      <c r="R312" s="16"/>
      <c r="S312" s="3"/>
      <c r="T312" s="3"/>
      <c r="U312" s="3"/>
      <c r="V312" s="3"/>
      <c r="W312" s="3"/>
      <c r="X312" s="3"/>
      <c r="Y312" s="3"/>
    </row>
    <row r="313" spans="1:25" ht="15.75" customHeight="1" x14ac:dyDescent="0.25">
      <c r="A313" s="9"/>
      <c r="B313" s="10"/>
      <c r="C313" s="10"/>
      <c r="D313" s="11">
        <v>26.2</v>
      </c>
      <c r="E313" s="17" t="s">
        <v>231</v>
      </c>
      <c r="F313" s="18" t="s">
        <v>17</v>
      </c>
      <c r="G313" s="15">
        <v>3</v>
      </c>
      <c r="H313" s="15"/>
      <c r="I313" s="15">
        <v>165000</v>
      </c>
      <c r="J313" s="15"/>
      <c r="K313" s="15"/>
      <c r="L313" s="15"/>
      <c r="M313" s="15"/>
      <c r="N313" s="15">
        <v>3</v>
      </c>
      <c r="O313" s="15">
        <v>165000</v>
      </c>
      <c r="P313" s="15"/>
      <c r="Q313" s="15"/>
      <c r="R313" s="16"/>
      <c r="S313" s="3"/>
      <c r="T313" s="3"/>
      <c r="U313" s="3"/>
      <c r="V313" s="3"/>
      <c r="W313" s="3"/>
      <c r="X313" s="3"/>
      <c r="Y313" s="3"/>
    </row>
    <row r="314" spans="1:25" ht="15.75" customHeight="1" x14ac:dyDescent="0.25">
      <c r="A314" s="9"/>
      <c r="B314" s="10"/>
      <c r="C314" s="10"/>
      <c r="D314" s="11">
        <v>26.21</v>
      </c>
      <c r="E314" s="17" t="s">
        <v>232</v>
      </c>
      <c r="F314" s="18" t="s">
        <v>17</v>
      </c>
      <c r="G314" s="15">
        <v>1</v>
      </c>
      <c r="H314" s="15"/>
      <c r="I314" s="15">
        <v>1600000</v>
      </c>
      <c r="J314" s="15"/>
      <c r="K314" s="15"/>
      <c r="L314" s="15"/>
      <c r="M314" s="15"/>
      <c r="N314" s="15"/>
      <c r="O314" s="15"/>
      <c r="P314" s="15">
        <v>1</v>
      </c>
      <c r="Q314" s="15">
        <v>1600000</v>
      </c>
      <c r="R314" s="16"/>
      <c r="S314" s="3"/>
      <c r="T314" s="3"/>
      <c r="U314" s="3"/>
      <c r="V314" s="3"/>
      <c r="W314" s="3"/>
      <c r="X314" s="3"/>
      <c r="Y314" s="3"/>
    </row>
    <row r="315" spans="1:25" ht="15.75" customHeight="1" x14ac:dyDescent="0.25">
      <c r="A315" s="9"/>
      <c r="B315" s="10"/>
      <c r="C315" s="10"/>
      <c r="D315" s="11">
        <v>26.22</v>
      </c>
      <c r="E315" s="17" t="s">
        <v>352</v>
      </c>
      <c r="F315" s="18"/>
      <c r="G315" s="15"/>
      <c r="H315" s="15"/>
      <c r="I315" s="15"/>
      <c r="J315" s="15"/>
      <c r="K315" s="15"/>
      <c r="L315" s="15"/>
      <c r="M315" s="15"/>
      <c r="N315" s="15">
        <v>150</v>
      </c>
      <c r="O315" s="15">
        <v>90000</v>
      </c>
      <c r="P315" s="15"/>
      <c r="Q315" s="15"/>
      <c r="R315" s="16"/>
      <c r="S315" s="3"/>
      <c r="T315" s="3"/>
      <c r="U315" s="3"/>
      <c r="V315" s="3"/>
      <c r="W315" s="3"/>
      <c r="X315" s="3"/>
      <c r="Y315" s="3"/>
    </row>
    <row r="316" spans="1:25" ht="15.75" customHeight="1" x14ac:dyDescent="0.25">
      <c r="A316" s="9"/>
      <c r="B316" s="10"/>
      <c r="C316" s="10"/>
      <c r="D316" s="11">
        <v>26.23</v>
      </c>
      <c r="E316" s="17" t="s">
        <v>355</v>
      </c>
      <c r="F316" s="18"/>
      <c r="G316" s="15">
        <v>1</v>
      </c>
      <c r="H316" s="15"/>
      <c r="I316" s="15">
        <v>100000</v>
      </c>
      <c r="J316" s="15">
        <v>1</v>
      </c>
      <c r="K316" s="15">
        <v>100000</v>
      </c>
      <c r="L316" s="15"/>
      <c r="M316" s="15"/>
      <c r="N316" s="15"/>
      <c r="O316" s="15"/>
      <c r="P316" s="15"/>
      <c r="Q316" s="15"/>
      <c r="R316" s="16"/>
      <c r="S316" s="3"/>
      <c r="T316" s="3"/>
      <c r="U316" s="3"/>
      <c r="V316" s="3"/>
      <c r="W316" s="3"/>
      <c r="X316" s="3"/>
      <c r="Y316" s="3"/>
    </row>
    <row r="317" spans="1:25" ht="15.75" customHeight="1" x14ac:dyDescent="0.25">
      <c r="A317" s="9"/>
      <c r="B317" s="10"/>
      <c r="C317" s="10"/>
      <c r="D317" s="11"/>
      <c r="E317" s="63"/>
      <c r="F317" s="18"/>
      <c r="G317" s="15"/>
      <c r="H317" s="15"/>
      <c r="I317" s="21">
        <f>SUM(I294:I314)</f>
        <v>5084060</v>
      </c>
      <c r="J317" s="15"/>
      <c r="K317" s="21">
        <f>SUM(K294:K310)</f>
        <v>159900</v>
      </c>
      <c r="L317" s="15"/>
      <c r="M317" s="21">
        <f>SUM(M294:M310)</f>
        <v>177200</v>
      </c>
      <c r="N317" s="15"/>
      <c r="O317" s="21">
        <f>SUM(O294:O313)</f>
        <v>2111920</v>
      </c>
      <c r="P317" s="15"/>
      <c r="Q317" s="21">
        <f>SUM(Q294:Q314)</f>
        <v>2993700</v>
      </c>
      <c r="R317" s="16"/>
      <c r="S317" s="3"/>
      <c r="T317" s="3"/>
      <c r="U317" s="3"/>
      <c r="V317" s="3"/>
      <c r="W317" s="3"/>
      <c r="X317" s="3"/>
      <c r="Y317" s="3"/>
    </row>
    <row r="318" spans="1:25" ht="15.75" customHeight="1" x14ac:dyDescent="0.25">
      <c r="A318" s="9"/>
      <c r="B318" s="10"/>
      <c r="C318" s="10"/>
      <c r="D318" s="11">
        <v>27</v>
      </c>
      <c r="E318" s="29" t="s">
        <v>233</v>
      </c>
      <c r="F318" s="18"/>
      <c r="G318" s="15"/>
      <c r="H318" s="15"/>
      <c r="I318" s="21"/>
      <c r="J318" s="15"/>
      <c r="K318" s="15"/>
      <c r="L318" s="15"/>
      <c r="M318" s="15"/>
      <c r="N318" s="15"/>
      <c r="O318" s="15"/>
      <c r="P318" s="15"/>
      <c r="Q318" s="15"/>
      <c r="R318" s="16"/>
      <c r="S318" s="3"/>
      <c r="T318" s="3"/>
      <c r="U318" s="3"/>
      <c r="V318" s="3"/>
      <c r="W318" s="3"/>
      <c r="X318" s="3"/>
      <c r="Y318" s="3"/>
    </row>
    <row r="319" spans="1:25" ht="15.75" customHeight="1" x14ac:dyDescent="0.25">
      <c r="A319" s="9"/>
      <c r="B319" s="10"/>
      <c r="C319" s="10"/>
      <c r="D319" s="11">
        <v>27.1</v>
      </c>
      <c r="E319" s="10" t="s">
        <v>234</v>
      </c>
      <c r="F319" s="18" t="s">
        <v>17</v>
      </c>
      <c r="G319" s="24">
        <v>42</v>
      </c>
      <c r="H319" s="24">
        <v>26.45</v>
      </c>
      <c r="I319" s="24">
        <f>H319*G319</f>
        <v>1110.8999999999999</v>
      </c>
      <c r="J319" s="71"/>
      <c r="K319" s="15"/>
      <c r="L319" s="71"/>
      <c r="M319" s="15"/>
      <c r="N319" s="71"/>
      <c r="O319" s="15"/>
      <c r="P319" s="15">
        <f>G319-J319-L319-N319</f>
        <v>42</v>
      </c>
      <c r="Q319" s="15">
        <f>I319-K319-M319-O319</f>
        <v>1110.8999999999999</v>
      </c>
      <c r="R319" s="16"/>
      <c r="S319" s="3"/>
      <c r="T319" s="3"/>
      <c r="U319" s="3"/>
      <c r="V319" s="3"/>
      <c r="W319" s="3"/>
      <c r="X319" s="3"/>
      <c r="Y319" s="3"/>
    </row>
    <row r="320" spans="1:25" ht="15.75" customHeight="1" x14ac:dyDescent="0.25">
      <c r="A320" s="9"/>
      <c r="B320" s="10"/>
      <c r="C320" s="10"/>
      <c r="D320" s="11">
        <v>27.2</v>
      </c>
      <c r="E320" s="72" t="s">
        <v>235</v>
      </c>
      <c r="F320" s="18" t="s">
        <v>17</v>
      </c>
      <c r="G320" s="24">
        <v>70</v>
      </c>
      <c r="H320" s="24">
        <v>20</v>
      </c>
      <c r="I320" s="24">
        <f t="shared" ref="I320:I383" si="12">H320*G320</f>
        <v>1400</v>
      </c>
      <c r="J320" s="71">
        <v>50</v>
      </c>
      <c r="K320" s="15">
        <f>J320*20</f>
        <v>1000</v>
      </c>
      <c r="L320" s="15">
        <v>20</v>
      </c>
      <c r="M320" s="15">
        <f>L320*20</f>
        <v>400</v>
      </c>
      <c r="N320" s="71"/>
      <c r="O320" s="15"/>
      <c r="P320" s="15">
        <f t="shared" ref="P320:P383" si="13">G320-J320-L320-N320</f>
        <v>0</v>
      </c>
      <c r="Q320" s="15">
        <f t="shared" ref="Q320:Q383" si="14">I320-K320-M320-O320</f>
        <v>0</v>
      </c>
      <c r="R320" s="16"/>
      <c r="S320" s="3"/>
      <c r="T320" s="3"/>
      <c r="U320" s="3"/>
      <c r="V320" s="3"/>
      <c r="W320" s="3"/>
      <c r="X320" s="3"/>
      <c r="Y320" s="3"/>
    </row>
    <row r="321" spans="1:25" ht="15.75" customHeight="1" x14ac:dyDescent="0.25">
      <c r="A321" s="9"/>
      <c r="B321" s="10"/>
      <c r="C321" s="10"/>
      <c r="D321" s="11">
        <v>27.3</v>
      </c>
      <c r="E321" s="72" t="s">
        <v>236</v>
      </c>
      <c r="F321" s="18" t="s">
        <v>17</v>
      </c>
      <c r="G321" s="24">
        <v>6</v>
      </c>
      <c r="H321" s="24">
        <v>35</v>
      </c>
      <c r="I321" s="24">
        <f t="shared" si="12"/>
        <v>210</v>
      </c>
      <c r="J321" s="71"/>
      <c r="K321" s="15"/>
      <c r="L321" s="15"/>
      <c r="M321" s="15"/>
      <c r="N321" s="71"/>
      <c r="O321" s="15"/>
      <c r="P321" s="15">
        <f t="shared" si="13"/>
        <v>6</v>
      </c>
      <c r="Q321" s="15">
        <f t="shared" si="14"/>
        <v>210</v>
      </c>
      <c r="R321" s="16"/>
      <c r="S321" s="3"/>
      <c r="T321" s="3"/>
      <c r="U321" s="3"/>
      <c r="V321" s="3"/>
      <c r="W321" s="3"/>
      <c r="X321" s="3"/>
      <c r="Y321" s="3"/>
    </row>
    <row r="322" spans="1:25" ht="15.75" customHeight="1" x14ac:dyDescent="0.25">
      <c r="A322" s="9"/>
      <c r="B322" s="10"/>
      <c r="C322" s="10"/>
      <c r="D322" s="11">
        <v>27.4</v>
      </c>
      <c r="E322" s="72" t="s">
        <v>237</v>
      </c>
      <c r="F322" s="18" t="s">
        <v>17</v>
      </c>
      <c r="G322" s="24">
        <v>360</v>
      </c>
      <c r="H322" s="24">
        <v>28</v>
      </c>
      <c r="I322" s="24">
        <f t="shared" si="12"/>
        <v>10080</v>
      </c>
      <c r="J322" s="71"/>
      <c r="K322" s="15"/>
      <c r="L322" s="15">
        <v>120</v>
      </c>
      <c r="M322" s="15">
        <f>L322*38</f>
        <v>4560</v>
      </c>
      <c r="N322" s="71">
        <v>120</v>
      </c>
      <c r="O322" s="15">
        <f>N322*38</f>
        <v>4560</v>
      </c>
      <c r="P322" s="15">
        <f t="shared" si="13"/>
        <v>120</v>
      </c>
      <c r="Q322" s="15">
        <f t="shared" si="14"/>
        <v>960</v>
      </c>
      <c r="R322" s="16"/>
      <c r="S322" s="3"/>
      <c r="T322" s="3"/>
      <c r="U322" s="3"/>
      <c r="V322" s="3"/>
      <c r="W322" s="3"/>
      <c r="X322" s="3"/>
      <c r="Y322" s="3"/>
    </row>
    <row r="323" spans="1:25" ht="15.75" customHeight="1" x14ac:dyDescent="0.25">
      <c r="A323" s="9"/>
      <c r="B323" s="10"/>
      <c r="C323" s="10"/>
      <c r="D323" s="11">
        <v>27.5</v>
      </c>
      <c r="E323" s="72" t="s">
        <v>238</v>
      </c>
      <c r="F323" s="18" t="s">
        <v>17</v>
      </c>
      <c r="G323" s="24">
        <v>10</v>
      </c>
      <c r="H323" s="24">
        <v>38</v>
      </c>
      <c r="I323" s="24">
        <f t="shared" si="12"/>
        <v>380</v>
      </c>
      <c r="J323" s="71"/>
      <c r="K323" s="15"/>
      <c r="L323" s="15"/>
      <c r="M323" s="15"/>
      <c r="N323" s="71"/>
      <c r="O323" s="15"/>
      <c r="P323" s="15">
        <f t="shared" si="13"/>
        <v>10</v>
      </c>
      <c r="Q323" s="15">
        <f t="shared" si="14"/>
        <v>380</v>
      </c>
      <c r="R323" s="16"/>
      <c r="S323" s="3"/>
      <c r="T323" s="3"/>
      <c r="U323" s="3"/>
      <c r="V323" s="3"/>
      <c r="W323" s="3"/>
      <c r="X323" s="3"/>
      <c r="Y323" s="3"/>
    </row>
    <row r="324" spans="1:25" ht="15.75" customHeight="1" x14ac:dyDescent="0.25">
      <c r="A324" s="9"/>
      <c r="B324" s="10"/>
      <c r="C324" s="10"/>
      <c r="D324" s="11">
        <v>27.6</v>
      </c>
      <c r="E324" s="72" t="s">
        <v>239</v>
      </c>
      <c r="F324" s="18" t="s">
        <v>17</v>
      </c>
      <c r="G324" s="24">
        <v>20</v>
      </c>
      <c r="H324" s="24">
        <v>112</v>
      </c>
      <c r="I324" s="24">
        <f t="shared" si="12"/>
        <v>2240</v>
      </c>
      <c r="J324" s="71"/>
      <c r="K324" s="15"/>
      <c r="L324" s="15"/>
      <c r="M324" s="15"/>
      <c r="N324" s="71"/>
      <c r="O324" s="15"/>
      <c r="P324" s="15">
        <f t="shared" si="13"/>
        <v>20</v>
      </c>
      <c r="Q324" s="15">
        <f t="shared" si="14"/>
        <v>2240</v>
      </c>
      <c r="R324" s="16"/>
      <c r="S324" s="3"/>
      <c r="T324" s="3"/>
      <c r="U324" s="3"/>
      <c r="V324" s="3"/>
      <c r="W324" s="3"/>
      <c r="X324" s="3"/>
      <c r="Y324" s="3"/>
    </row>
    <row r="325" spans="1:25" ht="15.75" customHeight="1" x14ac:dyDescent="0.25">
      <c r="A325" s="9"/>
      <c r="B325" s="10"/>
      <c r="C325" s="10"/>
      <c r="D325" s="11">
        <v>27.7</v>
      </c>
      <c r="E325" s="72" t="s">
        <v>240</v>
      </c>
      <c r="F325" s="18" t="s">
        <v>241</v>
      </c>
      <c r="G325" s="24">
        <v>55</v>
      </c>
      <c r="H325" s="24">
        <v>320</v>
      </c>
      <c r="I325" s="24">
        <f t="shared" si="12"/>
        <v>17600</v>
      </c>
      <c r="J325" s="71"/>
      <c r="K325" s="15"/>
      <c r="L325" s="15">
        <v>20</v>
      </c>
      <c r="M325" s="15">
        <f>L325*320</f>
        <v>6400</v>
      </c>
      <c r="N325" s="71"/>
      <c r="O325" s="15"/>
      <c r="P325" s="15">
        <f t="shared" si="13"/>
        <v>35</v>
      </c>
      <c r="Q325" s="15">
        <f t="shared" si="14"/>
        <v>11200</v>
      </c>
      <c r="R325" s="16"/>
      <c r="S325" s="3"/>
      <c r="T325" s="3"/>
      <c r="U325" s="3"/>
      <c r="V325" s="3"/>
      <c r="W325" s="3"/>
      <c r="X325" s="3"/>
      <c r="Y325" s="3"/>
    </row>
    <row r="326" spans="1:25" ht="15.75" customHeight="1" x14ac:dyDescent="0.25">
      <c r="A326" s="9"/>
      <c r="B326" s="10"/>
      <c r="C326" s="10"/>
      <c r="D326" s="11">
        <v>27.8</v>
      </c>
      <c r="E326" s="72" t="s">
        <v>242</v>
      </c>
      <c r="F326" s="18" t="s">
        <v>241</v>
      </c>
      <c r="G326" s="24">
        <v>2137</v>
      </c>
      <c r="H326" s="24">
        <v>162</v>
      </c>
      <c r="I326" s="24">
        <f t="shared" si="12"/>
        <v>346194</v>
      </c>
      <c r="J326" s="71">
        <v>500</v>
      </c>
      <c r="K326" s="15">
        <f>J326*162</f>
        <v>81000</v>
      </c>
      <c r="L326" s="15">
        <v>300</v>
      </c>
      <c r="M326" s="15">
        <f>L326*162</f>
        <v>48600</v>
      </c>
      <c r="N326" s="71">
        <v>500</v>
      </c>
      <c r="O326" s="15">
        <f>N326*162</f>
        <v>81000</v>
      </c>
      <c r="P326" s="15">
        <f t="shared" si="13"/>
        <v>837</v>
      </c>
      <c r="Q326" s="15">
        <f t="shared" si="14"/>
        <v>135594</v>
      </c>
      <c r="R326" s="16"/>
      <c r="S326" s="3"/>
      <c r="T326" s="3"/>
      <c r="U326" s="3"/>
      <c r="V326" s="3"/>
      <c r="W326" s="3"/>
      <c r="X326" s="3"/>
      <c r="Y326" s="3"/>
    </row>
    <row r="327" spans="1:25" ht="15.75" customHeight="1" x14ac:dyDescent="0.25">
      <c r="A327" s="9"/>
      <c r="B327" s="10"/>
      <c r="C327" s="10"/>
      <c r="D327" s="11">
        <v>27.9</v>
      </c>
      <c r="E327" s="72" t="s">
        <v>243</v>
      </c>
      <c r="F327" s="18" t="s">
        <v>17</v>
      </c>
      <c r="G327" s="24">
        <v>4</v>
      </c>
      <c r="H327" s="24">
        <v>170</v>
      </c>
      <c r="I327" s="24">
        <f t="shared" si="12"/>
        <v>680</v>
      </c>
      <c r="J327" s="71"/>
      <c r="K327" s="15"/>
      <c r="L327" s="15"/>
      <c r="M327" s="15"/>
      <c r="N327" s="71"/>
      <c r="O327" s="15"/>
      <c r="P327" s="15">
        <f t="shared" si="13"/>
        <v>4</v>
      </c>
      <c r="Q327" s="15">
        <f t="shared" si="14"/>
        <v>680</v>
      </c>
      <c r="R327" s="16"/>
      <c r="S327" s="3"/>
      <c r="T327" s="3"/>
      <c r="U327" s="3"/>
      <c r="V327" s="3"/>
      <c r="W327" s="3"/>
      <c r="X327" s="3"/>
      <c r="Y327" s="3"/>
    </row>
    <row r="328" spans="1:25" ht="15.75" customHeight="1" x14ac:dyDescent="0.25">
      <c r="A328" s="9"/>
      <c r="B328" s="10"/>
      <c r="C328" s="10"/>
      <c r="D328" s="33">
        <v>27.1</v>
      </c>
      <c r="E328" s="72" t="s">
        <v>244</v>
      </c>
      <c r="F328" s="18" t="s">
        <v>17</v>
      </c>
      <c r="G328" s="24">
        <v>5</v>
      </c>
      <c r="H328" s="24">
        <v>230</v>
      </c>
      <c r="I328" s="24">
        <f t="shared" si="12"/>
        <v>1150</v>
      </c>
      <c r="J328" s="71"/>
      <c r="K328" s="15"/>
      <c r="L328" s="15"/>
      <c r="M328" s="15"/>
      <c r="N328" s="71"/>
      <c r="O328" s="15"/>
      <c r="P328" s="15">
        <f t="shared" si="13"/>
        <v>5</v>
      </c>
      <c r="Q328" s="15">
        <f t="shared" si="14"/>
        <v>1150</v>
      </c>
      <c r="R328" s="16"/>
      <c r="S328" s="3"/>
      <c r="T328" s="3"/>
      <c r="U328" s="3"/>
      <c r="V328" s="3"/>
      <c r="W328" s="3"/>
      <c r="X328" s="3"/>
      <c r="Y328" s="3"/>
    </row>
    <row r="329" spans="1:25" ht="15.75" customHeight="1" x14ac:dyDescent="0.25">
      <c r="A329" s="9"/>
      <c r="B329" s="10"/>
      <c r="C329" s="10"/>
      <c r="D329" s="11">
        <v>27.11</v>
      </c>
      <c r="E329" s="10" t="s">
        <v>245</v>
      </c>
      <c r="F329" s="18" t="s">
        <v>17</v>
      </c>
      <c r="G329" s="24">
        <v>19</v>
      </c>
      <c r="H329" s="24">
        <v>1200</v>
      </c>
      <c r="I329" s="24">
        <f t="shared" si="12"/>
        <v>22800</v>
      </c>
      <c r="J329" s="71"/>
      <c r="K329" s="15"/>
      <c r="L329" s="15">
        <v>10</v>
      </c>
      <c r="M329" s="15">
        <f>L329*1200</f>
        <v>12000</v>
      </c>
      <c r="N329" s="71"/>
      <c r="O329" s="15"/>
      <c r="P329" s="15">
        <f t="shared" si="13"/>
        <v>9</v>
      </c>
      <c r="Q329" s="15">
        <f t="shared" si="14"/>
        <v>10800</v>
      </c>
      <c r="R329" s="16"/>
      <c r="S329" s="3"/>
      <c r="T329" s="3"/>
      <c r="U329" s="3"/>
      <c r="V329" s="3"/>
      <c r="W329" s="3"/>
      <c r="X329" s="3"/>
      <c r="Y329" s="3"/>
    </row>
    <row r="330" spans="1:25" ht="15.75" customHeight="1" x14ac:dyDescent="0.25">
      <c r="A330" s="9"/>
      <c r="B330" s="10"/>
      <c r="C330" s="10"/>
      <c r="D330" s="11">
        <v>27.12</v>
      </c>
      <c r="E330" s="72" t="s">
        <v>246</v>
      </c>
      <c r="F330" s="18" t="s">
        <v>17</v>
      </c>
      <c r="G330" s="24">
        <v>150</v>
      </c>
      <c r="H330" s="24">
        <v>70.8</v>
      </c>
      <c r="I330" s="24">
        <f>H330*G330</f>
        <v>10620</v>
      </c>
      <c r="J330" s="71"/>
      <c r="K330" s="15"/>
      <c r="L330" s="15">
        <v>150</v>
      </c>
      <c r="M330" s="15">
        <f>L330*70.8</f>
        <v>10620</v>
      </c>
      <c r="N330" s="71"/>
      <c r="O330" s="15"/>
      <c r="P330" s="15">
        <f t="shared" si="13"/>
        <v>0</v>
      </c>
      <c r="Q330" s="15">
        <f t="shared" si="14"/>
        <v>0</v>
      </c>
      <c r="R330" s="16"/>
      <c r="S330" s="3"/>
      <c r="T330" s="3"/>
      <c r="U330" s="3"/>
      <c r="V330" s="3"/>
      <c r="W330" s="3"/>
      <c r="X330" s="3"/>
      <c r="Y330" s="3"/>
    </row>
    <row r="331" spans="1:25" ht="15.75" customHeight="1" x14ac:dyDescent="0.25">
      <c r="A331" s="9"/>
      <c r="B331" s="10"/>
      <c r="C331" s="10"/>
      <c r="D331" s="11">
        <v>27.13</v>
      </c>
      <c r="E331" s="73" t="s">
        <v>247</v>
      </c>
      <c r="F331" s="18" t="s">
        <v>17</v>
      </c>
      <c r="G331" s="24">
        <v>50</v>
      </c>
      <c r="H331" s="24">
        <v>15</v>
      </c>
      <c r="I331" s="24">
        <f t="shared" si="12"/>
        <v>750</v>
      </c>
      <c r="J331" s="71"/>
      <c r="K331" s="15"/>
      <c r="L331" s="15">
        <v>50</v>
      </c>
      <c r="M331" s="15">
        <f>L331*15</f>
        <v>750</v>
      </c>
      <c r="N331" s="71"/>
      <c r="O331" s="15"/>
      <c r="P331" s="15">
        <f t="shared" si="13"/>
        <v>0</v>
      </c>
      <c r="Q331" s="15">
        <f t="shared" si="14"/>
        <v>0</v>
      </c>
      <c r="R331" s="16"/>
      <c r="S331" s="3"/>
      <c r="T331" s="3"/>
      <c r="U331" s="3"/>
      <c r="V331" s="3"/>
      <c r="W331" s="3"/>
      <c r="X331" s="3"/>
      <c r="Y331" s="3"/>
    </row>
    <row r="332" spans="1:25" ht="15.75" customHeight="1" x14ac:dyDescent="0.25">
      <c r="A332" s="9"/>
      <c r="B332" s="10"/>
      <c r="C332" s="10"/>
      <c r="D332" s="11">
        <v>27.14</v>
      </c>
      <c r="E332" s="72" t="s">
        <v>248</v>
      </c>
      <c r="F332" s="18" t="s">
        <v>17</v>
      </c>
      <c r="G332" s="24">
        <v>3</v>
      </c>
      <c r="H332" s="24">
        <v>30</v>
      </c>
      <c r="I332" s="24">
        <f t="shared" si="12"/>
        <v>90</v>
      </c>
      <c r="J332" s="71"/>
      <c r="K332" s="15"/>
      <c r="L332" s="15"/>
      <c r="M332" s="15"/>
      <c r="N332" s="71"/>
      <c r="O332" s="15"/>
      <c r="P332" s="15">
        <f t="shared" si="13"/>
        <v>3</v>
      </c>
      <c r="Q332" s="15">
        <f t="shared" si="14"/>
        <v>90</v>
      </c>
      <c r="R332" s="16"/>
      <c r="S332" s="3"/>
      <c r="T332" s="3"/>
      <c r="U332" s="3"/>
      <c r="V332" s="3"/>
      <c r="W332" s="3"/>
      <c r="X332" s="3"/>
      <c r="Y332" s="3"/>
    </row>
    <row r="333" spans="1:25" ht="15.75" customHeight="1" x14ac:dyDescent="0.25">
      <c r="A333" s="9"/>
      <c r="B333" s="10"/>
      <c r="C333" s="10"/>
      <c r="D333" s="11">
        <v>27.15</v>
      </c>
      <c r="E333" s="72" t="s">
        <v>249</v>
      </c>
      <c r="F333" s="18" t="s">
        <v>17</v>
      </c>
      <c r="G333" s="24">
        <v>1</v>
      </c>
      <c r="H333" s="24">
        <v>30</v>
      </c>
      <c r="I333" s="24">
        <f t="shared" si="12"/>
        <v>30</v>
      </c>
      <c r="J333" s="71"/>
      <c r="K333" s="15"/>
      <c r="L333" s="15"/>
      <c r="M333" s="15"/>
      <c r="N333" s="71"/>
      <c r="O333" s="15"/>
      <c r="P333" s="15">
        <f t="shared" si="13"/>
        <v>1</v>
      </c>
      <c r="Q333" s="15">
        <f t="shared" si="14"/>
        <v>30</v>
      </c>
      <c r="R333" s="16"/>
      <c r="S333" s="3"/>
      <c r="T333" s="3"/>
      <c r="U333" s="3"/>
      <c r="V333" s="3"/>
      <c r="W333" s="3"/>
      <c r="X333" s="3"/>
      <c r="Y333" s="3"/>
    </row>
    <row r="334" spans="1:25" ht="15.75" customHeight="1" x14ac:dyDescent="0.25">
      <c r="A334" s="9"/>
      <c r="B334" s="10"/>
      <c r="C334" s="10"/>
      <c r="D334" s="11">
        <v>27.16</v>
      </c>
      <c r="E334" s="70" t="s">
        <v>250</v>
      </c>
      <c r="F334" s="18" t="s">
        <v>17</v>
      </c>
      <c r="G334" s="24">
        <v>5</v>
      </c>
      <c r="H334" s="24">
        <v>450</v>
      </c>
      <c r="I334" s="24">
        <f t="shared" si="12"/>
        <v>2250</v>
      </c>
      <c r="J334" s="71"/>
      <c r="K334" s="15"/>
      <c r="L334" s="15"/>
      <c r="M334" s="15"/>
      <c r="N334" s="71"/>
      <c r="O334" s="15"/>
      <c r="P334" s="15">
        <f t="shared" si="13"/>
        <v>5</v>
      </c>
      <c r="Q334" s="15">
        <f t="shared" si="14"/>
        <v>2250</v>
      </c>
      <c r="R334" s="16"/>
      <c r="S334" s="3"/>
      <c r="T334" s="3"/>
      <c r="U334" s="3"/>
      <c r="V334" s="3"/>
      <c r="W334" s="3"/>
      <c r="X334" s="3"/>
      <c r="Y334" s="3"/>
    </row>
    <row r="335" spans="1:25" ht="15.75" customHeight="1" x14ac:dyDescent="0.25">
      <c r="A335" s="9"/>
      <c r="B335" s="10"/>
      <c r="C335" s="10"/>
      <c r="D335" s="11">
        <v>27.17</v>
      </c>
      <c r="E335" s="70" t="s">
        <v>251</v>
      </c>
      <c r="F335" s="18" t="s">
        <v>17</v>
      </c>
      <c r="G335" s="24">
        <v>9</v>
      </c>
      <c r="H335" s="24">
        <v>450</v>
      </c>
      <c r="I335" s="24">
        <f t="shared" si="12"/>
        <v>4050</v>
      </c>
      <c r="J335" s="71"/>
      <c r="K335" s="15"/>
      <c r="L335" s="15"/>
      <c r="M335" s="15"/>
      <c r="N335" s="71"/>
      <c r="O335" s="15"/>
      <c r="P335" s="15">
        <f t="shared" si="13"/>
        <v>9</v>
      </c>
      <c r="Q335" s="15">
        <f t="shared" si="14"/>
        <v>4050</v>
      </c>
      <c r="R335" s="16"/>
      <c r="S335" s="3"/>
      <c r="T335" s="3"/>
      <c r="U335" s="3"/>
      <c r="V335" s="3"/>
      <c r="W335" s="3"/>
      <c r="X335" s="3"/>
      <c r="Y335" s="3"/>
    </row>
    <row r="336" spans="1:25" ht="15.75" customHeight="1" x14ac:dyDescent="0.25">
      <c r="A336" s="9"/>
      <c r="B336" s="10"/>
      <c r="C336" s="10"/>
      <c r="D336" s="11">
        <v>27.18</v>
      </c>
      <c r="E336" s="70" t="s">
        <v>252</v>
      </c>
      <c r="F336" s="18"/>
      <c r="G336" s="24">
        <v>10</v>
      </c>
      <c r="H336" s="24"/>
      <c r="I336" s="24">
        <f>G336*450</f>
        <v>4500</v>
      </c>
      <c r="J336" s="71"/>
      <c r="K336" s="15"/>
      <c r="L336" s="15">
        <v>10</v>
      </c>
      <c r="M336" s="15">
        <f>L336*450</f>
        <v>4500</v>
      </c>
      <c r="N336" s="71"/>
      <c r="O336" s="15"/>
      <c r="P336" s="15">
        <f t="shared" si="13"/>
        <v>0</v>
      </c>
      <c r="Q336" s="15">
        <f t="shared" si="14"/>
        <v>0</v>
      </c>
      <c r="R336" s="16"/>
      <c r="S336" s="3"/>
      <c r="T336" s="3"/>
      <c r="U336" s="3"/>
      <c r="V336" s="3"/>
      <c r="W336" s="3"/>
      <c r="X336" s="3"/>
      <c r="Y336" s="3"/>
    </row>
    <row r="337" spans="1:25" ht="15.75" customHeight="1" x14ac:dyDescent="0.25">
      <c r="A337" s="9"/>
      <c r="B337" s="10"/>
      <c r="C337" s="10"/>
      <c r="D337" s="11">
        <v>27.19</v>
      </c>
      <c r="E337" s="72" t="s">
        <v>253</v>
      </c>
      <c r="F337" s="18" t="s">
        <v>17</v>
      </c>
      <c r="G337" s="24">
        <v>48</v>
      </c>
      <c r="H337" s="24">
        <v>18</v>
      </c>
      <c r="I337" s="24">
        <f t="shared" si="12"/>
        <v>864</v>
      </c>
      <c r="J337" s="71"/>
      <c r="K337" s="15"/>
      <c r="L337" s="15"/>
      <c r="M337" s="15"/>
      <c r="N337" s="71"/>
      <c r="O337" s="15"/>
      <c r="P337" s="15">
        <f t="shared" si="13"/>
        <v>48</v>
      </c>
      <c r="Q337" s="15">
        <f t="shared" si="14"/>
        <v>864</v>
      </c>
      <c r="R337" s="16"/>
      <c r="S337" s="3"/>
      <c r="T337" s="3"/>
      <c r="U337" s="3"/>
      <c r="V337" s="3"/>
      <c r="W337" s="3"/>
      <c r="X337" s="3"/>
      <c r="Y337" s="3"/>
    </row>
    <row r="338" spans="1:25" ht="15.75" customHeight="1" x14ac:dyDescent="0.25">
      <c r="A338" s="9"/>
      <c r="B338" s="10"/>
      <c r="C338" s="10"/>
      <c r="D338" s="33">
        <v>27.2</v>
      </c>
      <c r="E338" s="72" t="s">
        <v>254</v>
      </c>
      <c r="F338" s="18" t="s">
        <v>17</v>
      </c>
      <c r="G338" s="24">
        <v>171</v>
      </c>
      <c r="H338" s="24">
        <v>51</v>
      </c>
      <c r="I338" s="24">
        <f t="shared" si="12"/>
        <v>8721</v>
      </c>
      <c r="J338" s="71"/>
      <c r="K338" s="15"/>
      <c r="L338" s="15"/>
      <c r="M338" s="15"/>
      <c r="N338" s="71"/>
      <c r="O338" s="15"/>
      <c r="P338" s="15">
        <f t="shared" si="13"/>
        <v>171</v>
      </c>
      <c r="Q338" s="15">
        <f t="shared" si="14"/>
        <v>8721</v>
      </c>
      <c r="R338" s="16"/>
      <c r="S338" s="3"/>
      <c r="T338" s="3"/>
      <c r="U338" s="3"/>
      <c r="V338" s="3"/>
      <c r="W338" s="3"/>
      <c r="X338" s="3"/>
      <c r="Y338" s="3"/>
    </row>
    <row r="339" spans="1:25" ht="15.75" customHeight="1" x14ac:dyDescent="0.25">
      <c r="A339" s="9"/>
      <c r="B339" s="10"/>
      <c r="C339" s="10"/>
      <c r="D339" s="11">
        <v>27.21</v>
      </c>
      <c r="E339" s="72" t="s">
        <v>255</v>
      </c>
      <c r="F339" s="18" t="s">
        <v>17</v>
      </c>
      <c r="G339" s="24">
        <v>122</v>
      </c>
      <c r="H339" s="24">
        <v>125</v>
      </c>
      <c r="I339" s="24">
        <f t="shared" si="12"/>
        <v>15250</v>
      </c>
      <c r="J339" s="71"/>
      <c r="K339" s="15"/>
      <c r="L339" s="15"/>
      <c r="M339" s="15"/>
      <c r="N339" s="71"/>
      <c r="O339" s="15"/>
      <c r="P339" s="15">
        <f t="shared" si="13"/>
        <v>122</v>
      </c>
      <c r="Q339" s="15">
        <f t="shared" si="14"/>
        <v>15250</v>
      </c>
      <c r="R339" s="16"/>
      <c r="S339" s="3"/>
      <c r="T339" s="3"/>
      <c r="U339" s="3"/>
      <c r="V339" s="3"/>
      <c r="W339" s="3"/>
      <c r="X339" s="3"/>
      <c r="Y339" s="3"/>
    </row>
    <row r="340" spans="1:25" ht="15.75" customHeight="1" x14ac:dyDescent="0.25">
      <c r="A340" s="9"/>
      <c r="B340" s="10"/>
      <c r="C340" s="10"/>
      <c r="D340" s="11">
        <v>27.22</v>
      </c>
      <c r="E340" s="72" t="s">
        <v>256</v>
      </c>
      <c r="F340" s="18" t="s">
        <v>17</v>
      </c>
      <c r="G340" s="24">
        <v>12</v>
      </c>
      <c r="H340" s="24">
        <v>900</v>
      </c>
      <c r="I340" s="24">
        <f t="shared" si="12"/>
        <v>10800</v>
      </c>
      <c r="J340" s="71"/>
      <c r="K340" s="15"/>
      <c r="L340" s="15">
        <v>10</v>
      </c>
      <c r="M340" s="15">
        <f>L340*900</f>
        <v>9000</v>
      </c>
      <c r="N340" s="71"/>
      <c r="O340" s="15"/>
      <c r="P340" s="15">
        <f t="shared" si="13"/>
        <v>2</v>
      </c>
      <c r="Q340" s="15">
        <f t="shared" si="14"/>
        <v>1800</v>
      </c>
      <c r="R340" s="16"/>
      <c r="S340" s="3"/>
      <c r="T340" s="3"/>
      <c r="U340" s="3"/>
      <c r="V340" s="3"/>
      <c r="W340" s="3"/>
      <c r="X340" s="3"/>
      <c r="Y340" s="3"/>
    </row>
    <row r="341" spans="1:25" ht="15.75" customHeight="1" x14ac:dyDescent="0.25">
      <c r="A341" s="9"/>
      <c r="B341" s="10"/>
      <c r="C341" s="10"/>
      <c r="D341" s="11">
        <v>27.23</v>
      </c>
      <c r="E341" s="72" t="s">
        <v>257</v>
      </c>
      <c r="F341" s="18" t="s">
        <v>17</v>
      </c>
      <c r="G341" s="24">
        <v>12</v>
      </c>
      <c r="H341" s="24">
        <v>295.3</v>
      </c>
      <c r="I341" s="24">
        <f t="shared" si="12"/>
        <v>3543.6000000000004</v>
      </c>
      <c r="J341" s="71"/>
      <c r="K341" s="15"/>
      <c r="L341" s="15">
        <v>5</v>
      </c>
      <c r="M341" s="15">
        <f>L341*295.3</f>
        <v>1476.5</v>
      </c>
      <c r="N341" s="71"/>
      <c r="O341" s="15"/>
      <c r="P341" s="15">
        <f t="shared" si="13"/>
        <v>7</v>
      </c>
      <c r="Q341" s="15">
        <f t="shared" si="14"/>
        <v>2067.1000000000004</v>
      </c>
      <c r="R341" s="16"/>
      <c r="S341" s="3"/>
      <c r="T341" s="3"/>
      <c r="U341" s="3"/>
      <c r="V341" s="3"/>
      <c r="W341" s="3"/>
      <c r="X341" s="3"/>
      <c r="Y341" s="3"/>
    </row>
    <row r="342" spans="1:25" ht="15.75" customHeight="1" x14ac:dyDescent="0.25">
      <c r="A342" s="9"/>
      <c r="B342" s="10"/>
      <c r="C342" s="10"/>
      <c r="D342" s="11">
        <v>27.24</v>
      </c>
      <c r="E342" s="72" t="s">
        <v>258</v>
      </c>
      <c r="F342" s="18" t="s">
        <v>17</v>
      </c>
      <c r="G342" s="24">
        <v>36</v>
      </c>
      <c r="H342" s="24">
        <v>26.6</v>
      </c>
      <c r="I342" s="24">
        <f t="shared" si="12"/>
        <v>957.6</v>
      </c>
      <c r="J342" s="71"/>
      <c r="K342" s="15"/>
      <c r="L342" s="15">
        <v>20</v>
      </c>
      <c r="M342" s="15">
        <f>L342*26.6</f>
        <v>532</v>
      </c>
      <c r="N342" s="71"/>
      <c r="O342" s="15"/>
      <c r="P342" s="15">
        <f t="shared" si="13"/>
        <v>16</v>
      </c>
      <c r="Q342" s="15">
        <f t="shared" si="14"/>
        <v>425.6</v>
      </c>
      <c r="R342" s="16"/>
      <c r="S342" s="3"/>
      <c r="T342" s="3"/>
      <c r="U342" s="3"/>
      <c r="V342" s="3"/>
      <c r="W342" s="3"/>
      <c r="X342" s="3"/>
      <c r="Y342" s="3"/>
    </row>
    <row r="343" spans="1:25" ht="15.75" customHeight="1" x14ac:dyDescent="0.25">
      <c r="A343" s="9"/>
      <c r="B343" s="10"/>
      <c r="C343" s="10"/>
      <c r="D343" s="11">
        <v>27.25</v>
      </c>
      <c r="E343" s="72" t="s">
        <v>259</v>
      </c>
      <c r="F343" s="18" t="s">
        <v>17</v>
      </c>
      <c r="G343" s="24">
        <v>746</v>
      </c>
      <c r="H343" s="24">
        <v>7.5</v>
      </c>
      <c r="I343" s="24">
        <f t="shared" si="12"/>
        <v>5595</v>
      </c>
      <c r="J343" s="71"/>
      <c r="K343" s="15"/>
      <c r="L343" s="15">
        <v>300</v>
      </c>
      <c r="M343" s="15">
        <f>L343*7.5</f>
        <v>2250</v>
      </c>
      <c r="N343" s="71"/>
      <c r="O343" s="15"/>
      <c r="P343" s="15">
        <f t="shared" si="13"/>
        <v>446</v>
      </c>
      <c r="Q343" s="15">
        <f t="shared" si="14"/>
        <v>3345</v>
      </c>
      <c r="R343" s="16"/>
      <c r="S343" s="3"/>
      <c r="T343" s="3"/>
      <c r="U343" s="3"/>
      <c r="V343" s="3"/>
      <c r="W343" s="3"/>
      <c r="X343" s="3"/>
      <c r="Y343" s="3"/>
    </row>
    <row r="344" spans="1:25" ht="15.75" customHeight="1" x14ac:dyDescent="0.25">
      <c r="A344" s="9"/>
      <c r="B344" s="10"/>
      <c r="C344" s="10"/>
      <c r="D344" s="11">
        <v>27.26</v>
      </c>
      <c r="E344" s="10" t="s">
        <v>260</v>
      </c>
      <c r="F344" s="18" t="s">
        <v>17</v>
      </c>
      <c r="G344" s="24">
        <v>50</v>
      </c>
      <c r="H344" s="24">
        <v>10</v>
      </c>
      <c r="I344" s="24">
        <f t="shared" si="12"/>
        <v>500</v>
      </c>
      <c r="J344" s="71"/>
      <c r="K344" s="15"/>
      <c r="L344" s="15"/>
      <c r="M344" s="15"/>
      <c r="N344" s="71"/>
      <c r="O344" s="15"/>
      <c r="P344" s="15">
        <f t="shared" si="13"/>
        <v>50</v>
      </c>
      <c r="Q344" s="15">
        <f t="shared" si="14"/>
        <v>500</v>
      </c>
      <c r="R344" s="16"/>
      <c r="S344" s="3"/>
      <c r="T344" s="3"/>
      <c r="U344" s="3"/>
      <c r="V344" s="3"/>
      <c r="W344" s="3"/>
      <c r="X344" s="3"/>
      <c r="Y344" s="3"/>
    </row>
    <row r="345" spans="1:25" ht="15.75" customHeight="1" x14ac:dyDescent="0.25">
      <c r="A345" s="9"/>
      <c r="B345" s="10"/>
      <c r="C345" s="10"/>
      <c r="D345" s="11">
        <v>27.27</v>
      </c>
      <c r="E345" s="72" t="s">
        <v>261</v>
      </c>
      <c r="F345" s="18" t="s">
        <v>17</v>
      </c>
      <c r="G345" s="24">
        <v>690</v>
      </c>
      <c r="H345" s="24">
        <v>33.15</v>
      </c>
      <c r="I345" s="24">
        <f t="shared" si="12"/>
        <v>22873.5</v>
      </c>
      <c r="J345" s="71">
        <v>100</v>
      </c>
      <c r="K345" s="15">
        <f>J345*33.15</f>
        <v>3315</v>
      </c>
      <c r="L345" s="15">
        <v>200</v>
      </c>
      <c r="M345" s="15">
        <f>L345*33.15</f>
        <v>6630</v>
      </c>
      <c r="N345" s="71">
        <v>100</v>
      </c>
      <c r="O345" s="15">
        <f>N345*33.15</f>
        <v>3315</v>
      </c>
      <c r="P345" s="15">
        <f t="shared" si="13"/>
        <v>290</v>
      </c>
      <c r="Q345" s="15">
        <f t="shared" si="14"/>
        <v>9613.5</v>
      </c>
      <c r="R345" s="16"/>
      <c r="S345" s="3"/>
      <c r="T345" s="3"/>
      <c r="U345" s="3"/>
      <c r="V345" s="3"/>
      <c r="W345" s="3"/>
      <c r="X345" s="3"/>
      <c r="Y345" s="3"/>
    </row>
    <row r="346" spans="1:25" ht="15.75" customHeight="1" x14ac:dyDescent="0.25">
      <c r="A346" s="9"/>
      <c r="B346" s="10"/>
      <c r="C346" s="10"/>
      <c r="D346" s="11">
        <v>27.28</v>
      </c>
      <c r="E346" s="72" t="s">
        <v>262</v>
      </c>
      <c r="F346" s="18" t="s">
        <v>17</v>
      </c>
      <c r="G346" s="24">
        <v>39</v>
      </c>
      <c r="H346" s="24">
        <v>80</v>
      </c>
      <c r="I346" s="24">
        <f t="shared" si="12"/>
        <v>3120</v>
      </c>
      <c r="J346" s="71"/>
      <c r="K346" s="15"/>
      <c r="L346" s="15"/>
      <c r="M346" s="15"/>
      <c r="N346" s="71"/>
      <c r="O346" s="15"/>
      <c r="P346" s="15">
        <f t="shared" si="13"/>
        <v>39</v>
      </c>
      <c r="Q346" s="15">
        <f t="shared" si="14"/>
        <v>3120</v>
      </c>
      <c r="R346" s="16"/>
      <c r="S346" s="3"/>
      <c r="T346" s="3"/>
      <c r="U346" s="3"/>
      <c r="V346" s="3"/>
      <c r="W346" s="3"/>
      <c r="X346" s="3"/>
      <c r="Y346" s="3"/>
    </row>
    <row r="347" spans="1:25" ht="15.75" customHeight="1" x14ac:dyDescent="0.25">
      <c r="A347" s="9"/>
      <c r="B347" s="10"/>
      <c r="C347" s="10"/>
      <c r="D347" s="11">
        <v>27.29</v>
      </c>
      <c r="E347" s="72" t="s">
        <v>263</v>
      </c>
      <c r="F347" s="18" t="s">
        <v>17</v>
      </c>
      <c r="G347" s="24">
        <v>59</v>
      </c>
      <c r="H347" s="24">
        <v>2</v>
      </c>
      <c r="I347" s="24">
        <f t="shared" si="12"/>
        <v>118</v>
      </c>
      <c r="J347" s="71"/>
      <c r="K347" s="15"/>
      <c r="L347" s="15"/>
      <c r="M347" s="15"/>
      <c r="N347" s="71"/>
      <c r="O347" s="15"/>
      <c r="P347" s="15">
        <f t="shared" si="13"/>
        <v>59</v>
      </c>
      <c r="Q347" s="15">
        <f t="shared" si="14"/>
        <v>118</v>
      </c>
      <c r="R347" s="16"/>
      <c r="S347" s="3"/>
      <c r="T347" s="3"/>
      <c r="U347" s="3"/>
      <c r="V347" s="3"/>
      <c r="W347" s="3"/>
      <c r="X347" s="3"/>
      <c r="Y347" s="3"/>
    </row>
    <row r="348" spans="1:25" ht="15.75" customHeight="1" x14ac:dyDescent="0.25">
      <c r="A348" s="9"/>
      <c r="B348" s="10"/>
      <c r="C348" s="10"/>
      <c r="D348" s="33">
        <v>27.3</v>
      </c>
      <c r="E348" s="72" t="s">
        <v>264</v>
      </c>
      <c r="F348" s="18" t="s">
        <v>17</v>
      </c>
      <c r="G348" s="24">
        <v>270</v>
      </c>
      <c r="H348" s="24">
        <v>4.7</v>
      </c>
      <c r="I348" s="24">
        <f t="shared" si="12"/>
        <v>1269</v>
      </c>
      <c r="J348" s="71"/>
      <c r="K348" s="15"/>
      <c r="L348" s="15"/>
      <c r="M348" s="15"/>
      <c r="N348" s="71"/>
      <c r="O348" s="15"/>
      <c r="P348" s="15">
        <f t="shared" si="13"/>
        <v>270</v>
      </c>
      <c r="Q348" s="15">
        <f t="shared" si="14"/>
        <v>1269</v>
      </c>
      <c r="R348" s="16"/>
      <c r="S348" s="3"/>
      <c r="T348" s="3"/>
      <c r="U348" s="3"/>
      <c r="V348" s="3"/>
      <c r="W348" s="3"/>
      <c r="X348" s="3"/>
      <c r="Y348" s="3"/>
    </row>
    <row r="349" spans="1:25" ht="15.75" customHeight="1" x14ac:dyDescent="0.25">
      <c r="A349" s="9"/>
      <c r="B349" s="10"/>
      <c r="C349" s="10"/>
      <c r="D349" s="11">
        <v>27.31</v>
      </c>
      <c r="E349" s="72" t="s">
        <v>265</v>
      </c>
      <c r="F349" s="18" t="s">
        <v>17</v>
      </c>
      <c r="G349" s="24">
        <v>395</v>
      </c>
      <c r="H349" s="24">
        <v>2.4</v>
      </c>
      <c r="I349" s="24">
        <f t="shared" si="12"/>
        <v>948</v>
      </c>
      <c r="J349" s="71"/>
      <c r="K349" s="15"/>
      <c r="L349" s="15"/>
      <c r="M349" s="15"/>
      <c r="N349" s="71"/>
      <c r="O349" s="15"/>
      <c r="P349" s="15">
        <f t="shared" si="13"/>
        <v>395</v>
      </c>
      <c r="Q349" s="15">
        <f t="shared" si="14"/>
        <v>948</v>
      </c>
      <c r="R349" s="16"/>
      <c r="S349" s="3"/>
      <c r="T349" s="3"/>
      <c r="U349" s="3"/>
      <c r="V349" s="3"/>
      <c r="W349" s="3"/>
      <c r="X349" s="3"/>
      <c r="Y349" s="3"/>
    </row>
    <row r="350" spans="1:25" ht="15.75" customHeight="1" x14ac:dyDescent="0.25">
      <c r="A350" s="9"/>
      <c r="B350" s="10"/>
      <c r="C350" s="10"/>
      <c r="D350" s="11">
        <v>27.32</v>
      </c>
      <c r="E350" s="70" t="s">
        <v>266</v>
      </c>
      <c r="F350" s="18" t="s">
        <v>17</v>
      </c>
      <c r="G350" s="24">
        <v>31</v>
      </c>
      <c r="H350" s="24">
        <v>106</v>
      </c>
      <c r="I350" s="24">
        <f t="shared" si="12"/>
        <v>3286</v>
      </c>
      <c r="J350" s="71">
        <v>6</v>
      </c>
      <c r="K350" s="15">
        <f>J350*106</f>
        <v>636</v>
      </c>
      <c r="L350" s="15">
        <v>10</v>
      </c>
      <c r="M350" s="15">
        <f>L350*106</f>
        <v>1060</v>
      </c>
      <c r="N350" s="71"/>
      <c r="O350" s="15"/>
      <c r="P350" s="15">
        <f t="shared" si="13"/>
        <v>15</v>
      </c>
      <c r="Q350" s="15">
        <f t="shared" si="14"/>
        <v>1590</v>
      </c>
      <c r="R350" s="16"/>
      <c r="S350" s="3"/>
      <c r="T350" s="3"/>
      <c r="U350" s="3"/>
      <c r="V350" s="3"/>
      <c r="W350" s="3"/>
      <c r="X350" s="3"/>
      <c r="Y350" s="3"/>
    </row>
    <row r="351" spans="1:25" ht="15.75" customHeight="1" x14ac:dyDescent="0.25">
      <c r="A351" s="9"/>
      <c r="B351" s="10"/>
      <c r="C351" s="10"/>
      <c r="D351" s="11">
        <v>27.33</v>
      </c>
      <c r="E351" s="72" t="s">
        <v>267</v>
      </c>
      <c r="F351" s="18" t="s">
        <v>17</v>
      </c>
      <c r="G351" s="24">
        <v>97</v>
      </c>
      <c r="H351" s="24">
        <v>25</v>
      </c>
      <c r="I351" s="24">
        <f t="shared" si="12"/>
        <v>2425</v>
      </c>
      <c r="J351" s="71"/>
      <c r="K351" s="15"/>
      <c r="L351" s="15">
        <v>50</v>
      </c>
      <c r="M351" s="15">
        <f>L351*25</f>
        <v>1250</v>
      </c>
      <c r="N351" s="71"/>
      <c r="O351" s="15"/>
      <c r="P351" s="15">
        <f t="shared" si="13"/>
        <v>47</v>
      </c>
      <c r="Q351" s="15">
        <f t="shared" si="14"/>
        <v>1175</v>
      </c>
      <c r="R351" s="16"/>
      <c r="S351" s="3"/>
      <c r="T351" s="3"/>
      <c r="U351" s="3"/>
      <c r="V351" s="3"/>
      <c r="W351" s="3"/>
      <c r="X351" s="3"/>
      <c r="Y351" s="3"/>
    </row>
    <row r="352" spans="1:25" ht="15.75" customHeight="1" x14ac:dyDescent="0.25">
      <c r="A352" s="9"/>
      <c r="B352" s="10"/>
      <c r="C352" s="10"/>
      <c r="D352" s="11">
        <v>27.34</v>
      </c>
      <c r="E352" s="72" t="s">
        <v>268</v>
      </c>
      <c r="F352" s="18"/>
      <c r="G352" s="24">
        <v>50</v>
      </c>
      <c r="H352" s="24"/>
      <c r="I352" s="24">
        <f>G352*54</f>
        <v>2700</v>
      </c>
      <c r="J352" s="71"/>
      <c r="K352" s="15"/>
      <c r="L352" s="15">
        <v>50</v>
      </c>
      <c r="M352" s="15">
        <f>L352*54</f>
        <v>2700</v>
      </c>
      <c r="N352" s="71"/>
      <c r="O352" s="15"/>
      <c r="P352" s="15">
        <f t="shared" si="13"/>
        <v>0</v>
      </c>
      <c r="Q352" s="15">
        <f t="shared" si="14"/>
        <v>0</v>
      </c>
      <c r="R352" s="16"/>
      <c r="S352" s="3"/>
      <c r="T352" s="3"/>
      <c r="U352" s="3"/>
      <c r="V352" s="3"/>
      <c r="W352" s="3"/>
      <c r="X352" s="3"/>
      <c r="Y352" s="3"/>
    </row>
    <row r="353" spans="1:25" ht="15.75" customHeight="1" x14ac:dyDescent="0.25">
      <c r="A353" s="9"/>
      <c r="B353" s="10"/>
      <c r="C353" s="10"/>
      <c r="D353" s="11">
        <v>27.35</v>
      </c>
      <c r="E353" s="72" t="s">
        <v>269</v>
      </c>
      <c r="F353" s="18" t="s">
        <v>17</v>
      </c>
      <c r="G353" s="24">
        <v>88</v>
      </c>
      <c r="H353" s="24">
        <v>54</v>
      </c>
      <c r="I353" s="24">
        <f t="shared" si="12"/>
        <v>4752</v>
      </c>
      <c r="J353" s="71"/>
      <c r="K353" s="15"/>
      <c r="L353" s="15"/>
      <c r="M353" s="15"/>
      <c r="N353" s="71"/>
      <c r="O353" s="15"/>
      <c r="P353" s="15">
        <f t="shared" si="13"/>
        <v>88</v>
      </c>
      <c r="Q353" s="15">
        <f t="shared" si="14"/>
        <v>4752</v>
      </c>
      <c r="R353" s="16"/>
      <c r="S353" s="3"/>
      <c r="T353" s="3"/>
      <c r="U353" s="3"/>
      <c r="V353" s="3"/>
      <c r="W353" s="3"/>
      <c r="X353" s="3"/>
      <c r="Y353" s="3"/>
    </row>
    <row r="354" spans="1:25" ht="15.75" customHeight="1" x14ac:dyDescent="0.25">
      <c r="A354" s="9"/>
      <c r="B354" s="10"/>
      <c r="C354" s="10"/>
      <c r="D354" s="11">
        <v>27.36</v>
      </c>
      <c r="E354" s="72" t="s">
        <v>270</v>
      </c>
      <c r="F354" s="18" t="s">
        <v>17</v>
      </c>
      <c r="G354" s="24">
        <v>254</v>
      </c>
      <c r="H354" s="24">
        <v>4.5</v>
      </c>
      <c r="I354" s="24">
        <f t="shared" si="12"/>
        <v>1143</v>
      </c>
      <c r="J354" s="71"/>
      <c r="K354" s="15"/>
      <c r="L354" s="15">
        <v>50</v>
      </c>
      <c r="M354" s="15">
        <f>L354*4.5</f>
        <v>225</v>
      </c>
      <c r="N354" s="71">
        <v>50</v>
      </c>
      <c r="O354" s="15">
        <f>N354*5</f>
        <v>250</v>
      </c>
      <c r="P354" s="15">
        <f t="shared" si="13"/>
        <v>154</v>
      </c>
      <c r="Q354" s="15">
        <f t="shared" si="14"/>
        <v>668</v>
      </c>
      <c r="R354" s="16"/>
      <c r="S354" s="3"/>
      <c r="T354" s="3"/>
      <c r="U354" s="3"/>
      <c r="V354" s="3"/>
      <c r="W354" s="3"/>
      <c r="X354" s="3"/>
      <c r="Y354" s="3"/>
    </row>
    <row r="355" spans="1:25" ht="15.75" customHeight="1" x14ac:dyDescent="0.25">
      <c r="A355" s="9"/>
      <c r="B355" s="10"/>
      <c r="C355" s="10"/>
      <c r="D355" s="11">
        <v>27.37</v>
      </c>
      <c r="E355" s="72" t="s">
        <v>271</v>
      </c>
      <c r="F355" s="18" t="s">
        <v>17</v>
      </c>
      <c r="G355" s="24">
        <v>2</v>
      </c>
      <c r="H355" s="24">
        <v>28</v>
      </c>
      <c r="I355" s="24">
        <f t="shared" si="12"/>
        <v>56</v>
      </c>
      <c r="J355" s="71"/>
      <c r="K355" s="15"/>
      <c r="L355" s="15"/>
      <c r="M355" s="15"/>
      <c r="N355" s="71"/>
      <c r="O355" s="15"/>
      <c r="P355" s="15">
        <f t="shared" si="13"/>
        <v>2</v>
      </c>
      <c r="Q355" s="15">
        <f t="shared" si="14"/>
        <v>56</v>
      </c>
      <c r="R355" s="16"/>
      <c r="S355" s="3"/>
      <c r="T355" s="3"/>
      <c r="U355" s="3"/>
      <c r="V355" s="3"/>
      <c r="W355" s="3"/>
      <c r="X355" s="3"/>
      <c r="Y355" s="3"/>
    </row>
    <row r="356" spans="1:25" ht="15.75" customHeight="1" x14ac:dyDescent="0.25">
      <c r="A356" s="9"/>
      <c r="B356" s="10"/>
      <c r="C356" s="10"/>
      <c r="D356" s="11">
        <v>27.38</v>
      </c>
      <c r="E356" s="72" t="s">
        <v>272</v>
      </c>
      <c r="F356" s="18" t="s">
        <v>17</v>
      </c>
      <c r="G356" s="24">
        <v>19</v>
      </c>
      <c r="H356" s="24">
        <v>50</v>
      </c>
      <c r="I356" s="24">
        <f t="shared" si="12"/>
        <v>950</v>
      </c>
      <c r="J356" s="71"/>
      <c r="K356" s="15"/>
      <c r="L356" s="15"/>
      <c r="M356" s="15"/>
      <c r="N356" s="71"/>
      <c r="O356" s="15"/>
      <c r="P356" s="15">
        <f t="shared" si="13"/>
        <v>19</v>
      </c>
      <c r="Q356" s="15">
        <f t="shared" si="14"/>
        <v>950</v>
      </c>
      <c r="R356" s="16"/>
      <c r="S356" s="3"/>
      <c r="T356" s="3"/>
      <c r="U356" s="3"/>
      <c r="V356" s="3"/>
      <c r="W356" s="3"/>
      <c r="X356" s="3"/>
      <c r="Y356" s="3"/>
    </row>
    <row r="357" spans="1:25" ht="15.75" customHeight="1" x14ac:dyDescent="0.25">
      <c r="A357" s="9"/>
      <c r="B357" s="10"/>
      <c r="C357" s="10"/>
      <c r="D357" s="11">
        <v>27.39</v>
      </c>
      <c r="E357" s="72" t="s">
        <v>273</v>
      </c>
      <c r="F357" s="18" t="s">
        <v>17</v>
      </c>
      <c r="G357" s="24">
        <v>2</v>
      </c>
      <c r="H357" s="24">
        <v>50</v>
      </c>
      <c r="I357" s="24">
        <f t="shared" si="12"/>
        <v>100</v>
      </c>
      <c r="J357" s="71"/>
      <c r="K357" s="15"/>
      <c r="L357" s="15"/>
      <c r="M357" s="15"/>
      <c r="N357" s="71"/>
      <c r="O357" s="15"/>
      <c r="P357" s="15">
        <f t="shared" si="13"/>
        <v>2</v>
      </c>
      <c r="Q357" s="15">
        <f t="shared" si="14"/>
        <v>100</v>
      </c>
      <c r="R357" s="16"/>
      <c r="S357" s="3"/>
      <c r="T357" s="3"/>
      <c r="U357" s="3"/>
      <c r="V357" s="3"/>
      <c r="W357" s="3"/>
      <c r="X357" s="3"/>
      <c r="Y357" s="3"/>
    </row>
    <row r="358" spans="1:25" ht="15.75" customHeight="1" x14ac:dyDescent="0.25">
      <c r="A358" s="9"/>
      <c r="B358" s="10"/>
      <c r="C358" s="10"/>
      <c r="D358" s="33">
        <v>27.4</v>
      </c>
      <c r="E358" s="72" t="s">
        <v>274</v>
      </c>
      <c r="F358" s="18" t="s">
        <v>17</v>
      </c>
      <c r="G358" s="24">
        <v>30</v>
      </c>
      <c r="H358" s="24">
        <v>124.1</v>
      </c>
      <c r="I358" s="24">
        <f t="shared" si="12"/>
        <v>3723</v>
      </c>
      <c r="J358" s="71"/>
      <c r="K358" s="15"/>
      <c r="L358" s="15">
        <v>30</v>
      </c>
      <c r="M358" s="15">
        <f>L358*124.1</f>
        <v>3723</v>
      </c>
      <c r="N358" s="71"/>
      <c r="O358" s="15"/>
      <c r="P358" s="15">
        <f t="shared" si="13"/>
        <v>0</v>
      </c>
      <c r="Q358" s="15">
        <f t="shared" si="14"/>
        <v>0</v>
      </c>
      <c r="R358" s="16"/>
      <c r="S358" s="3"/>
      <c r="T358" s="3"/>
      <c r="U358" s="3"/>
      <c r="V358" s="3"/>
      <c r="W358" s="3"/>
      <c r="X358" s="3"/>
      <c r="Y358" s="3"/>
    </row>
    <row r="359" spans="1:25" ht="15.75" customHeight="1" x14ac:dyDescent="0.25">
      <c r="A359" s="9"/>
      <c r="B359" s="10"/>
      <c r="C359" s="10"/>
      <c r="D359" s="11">
        <v>27.41</v>
      </c>
      <c r="E359" s="10" t="s">
        <v>275</v>
      </c>
      <c r="F359" s="18" t="s">
        <v>17</v>
      </c>
      <c r="G359" s="24">
        <v>60</v>
      </c>
      <c r="H359" s="24">
        <v>34</v>
      </c>
      <c r="I359" s="24">
        <f t="shared" si="12"/>
        <v>2040</v>
      </c>
      <c r="J359" s="71"/>
      <c r="K359" s="15"/>
      <c r="L359" s="15">
        <v>60</v>
      </c>
      <c r="M359" s="15">
        <f>L359*34</f>
        <v>2040</v>
      </c>
      <c r="N359" s="71"/>
      <c r="O359" s="15"/>
      <c r="P359" s="15">
        <f t="shared" si="13"/>
        <v>0</v>
      </c>
      <c r="Q359" s="15">
        <f t="shared" si="14"/>
        <v>0</v>
      </c>
      <c r="R359" s="16"/>
      <c r="S359" s="3"/>
      <c r="T359" s="3"/>
      <c r="U359" s="3"/>
      <c r="V359" s="3"/>
      <c r="W359" s="3"/>
      <c r="X359" s="3"/>
      <c r="Y359" s="3"/>
    </row>
    <row r="360" spans="1:25" ht="15.75" customHeight="1" x14ac:dyDescent="0.25">
      <c r="A360" s="9"/>
      <c r="B360" s="10"/>
      <c r="C360" s="10"/>
      <c r="D360" s="11">
        <v>27.42</v>
      </c>
      <c r="E360" s="10" t="s">
        <v>276</v>
      </c>
      <c r="F360" s="18" t="s">
        <v>17</v>
      </c>
      <c r="G360" s="24">
        <v>42</v>
      </c>
      <c r="H360" s="24">
        <v>40</v>
      </c>
      <c r="I360" s="24">
        <f t="shared" si="12"/>
        <v>1680</v>
      </c>
      <c r="J360" s="71"/>
      <c r="K360" s="15"/>
      <c r="L360" s="15"/>
      <c r="M360" s="15"/>
      <c r="N360" s="71"/>
      <c r="O360" s="15"/>
      <c r="P360" s="15">
        <f t="shared" si="13"/>
        <v>42</v>
      </c>
      <c r="Q360" s="15">
        <f t="shared" si="14"/>
        <v>1680</v>
      </c>
      <c r="R360" s="16"/>
      <c r="S360" s="3"/>
      <c r="T360" s="3"/>
      <c r="U360" s="3"/>
      <c r="V360" s="3"/>
      <c r="W360" s="3"/>
      <c r="X360" s="3"/>
      <c r="Y360" s="3"/>
    </row>
    <row r="361" spans="1:25" ht="15.75" customHeight="1" x14ac:dyDescent="0.25">
      <c r="A361" s="9"/>
      <c r="B361" s="10"/>
      <c r="C361" s="10"/>
      <c r="D361" s="11">
        <v>27.43</v>
      </c>
      <c r="E361" s="10" t="s">
        <v>277</v>
      </c>
      <c r="F361" s="18" t="s">
        <v>17</v>
      </c>
      <c r="G361" s="24">
        <v>24</v>
      </c>
      <c r="H361" s="24">
        <v>40</v>
      </c>
      <c r="I361" s="24">
        <f t="shared" si="12"/>
        <v>960</v>
      </c>
      <c r="J361" s="71"/>
      <c r="K361" s="15"/>
      <c r="L361" s="15"/>
      <c r="M361" s="15"/>
      <c r="N361" s="71"/>
      <c r="O361" s="15"/>
      <c r="P361" s="15">
        <f t="shared" si="13"/>
        <v>24</v>
      </c>
      <c r="Q361" s="15">
        <f t="shared" si="14"/>
        <v>960</v>
      </c>
      <c r="R361" s="16"/>
      <c r="S361" s="3"/>
      <c r="T361" s="3"/>
      <c r="U361" s="3"/>
      <c r="V361" s="3"/>
      <c r="W361" s="3"/>
      <c r="X361" s="3"/>
      <c r="Y361" s="3"/>
    </row>
    <row r="362" spans="1:25" ht="15.75" customHeight="1" x14ac:dyDescent="0.25">
      <c r="A362" s="9"/>
      <c r="B362" s="10"/>
      <c r="C362" s="10"/>
      <c r="D362" s="11">
        <v>27.440000000000101</v>
      </c>
      <c r="E362" s="72" t="s">
        <v>278</v>
      </c>
      <c r="F362" s="18" t="s">
        <v>17</v>
      </c>
      <c r="G362" s="24">
        <v>70</v>
      </c>
      <c r="H362" s="24">
        <v>158</v>
      </c>
      <c r="I362" s="24">
        <f t="shared" si="12"/>
        <v>11060</v>
      </c>
      <c r="J362" s="71"/>
      <c r="K362" s="15"/>
      <c r="L362" s="15"/>
      <c r="M362" s="15"/>
      <c r="N362" s="71"/>
      <c r="O362" s="15"/>
      <c r="P362" s="15">
        <f t="shared" si="13"/>
        <v>70</v>
      </c>
      <c r="Q362" s="15">
        <f t="shared" si="14"/>
        <v>11060</v>
      </c>
      <c r="R362" s="16"/>
      <c r="S362" s="3"/>
      <c r="T362" s="3"/>
      <c r="U362" s="3"/>
      <c r="V362" s="3"/>
      <c r="W362" s="3"/>
      <c r="X362" s="3"/>
      <c r="Y362" s="3"/>
    </row>
    <row r="363" spans="1:25" ht="15.75" customHeight="1" x14ac:dyDescent="0.25">
      <c r="A363" s="9"/>
      <c r="B363" s="10"/>
      <c r="C363" s="10"/>
      <c r="D363" s="11">
        <v>27.450000000000099</v>
      </c>
      <c r="E363" s="72" t="s">
        <v>279</v>
      </c>
      <c r="F363" s="18" t="s">
        <v>17</v>
      </c>
      <c r="G363" s="24">
        <v>29</v>
      </c>
      <c r="H363" s="24">
        <v>57</v>
      </c>
      <c r="I363" s="24">
        <f t="shared" si="12"/>
        <v>1653</v>
      </c>
      <c r="J363" s="71"/>
      <c r="K363" s="15"/>
      <c r="L363" s="15">
        <v>20</v>
      </c>
      <c r="M363" s="15">
        <f>L363*57</f>
        <v>1140</v>
      </c>
      <c r="N363" s="71"/>
      <c r="O363" s="15"/>
      <c r="P363" s="15">
        <f t="shared" si="13"/>
        <v>9</v>
      </c>
      <c r="Q363" s="15">
        <f t="shared" si="14"/>
        <v>513</v>
      </c>
      <c r="R363" s="16"/>
      <c r="S363" s="3"/>
      <c r="T363" s="3"/>
      <c r="U363" s="3"/>
      <c r="V363" s="3"/>
      <c r="W363" s="3"/>
      <c r="X363" s="3"/>
      <c r="Y363" s="3"/>
    </row>
    <row r="364" spans="1:25" ht="15.75" customHeight="1" x14ac:dyDescent="0.25">
      <c r="A364" s="9"/>
      <c r="B364" s="10"/>
      <c r="C364" s="10"/>
      <c r="D364" s="11">
        <v>27.4600000000001</v>
      </c>
      <c r="E364" s="72" t="s">
        <v>280</v>
      </c>
      <c r="F364" s="18" t="s">
        <v>17</v>
      </c>
      <c r="G364" s="24">
        <v>51</v>
      </c>
      <c r="H364" s="24">
        <v>33</v>
      </c>
      <c r="I364" s="24">
        <f t="shared" si="12"/>
        <v>1683</v>
      </c>
      <c r="J364" s="71"/>
      <c r="K364" s="15"/>
      <c r="L364" s="15"/>
      <c r="M364" s="15"/>
      <c r="N364" s="71"/>
      <c r="O364" s="15"/>
      <c r="P364" s="15">
        <f t="shared" si="13"/>
        <v>51</v>
      </c>
      <c r="Q364" s="15">
        <f t="shared" si="14"/>
        <v>1683</v>
      </c>
      <c r="R364" s="16"/>
      <c r="S364" s="3"/>
      <c r="T364" s="3"/>
      <c r="U364" s="3"/>
      <c r="V364" s="3"/>
      <c r="W364" s="3"/>
      <c r="X364" s="3"/>
      <c r="Y364" s="3"/>
    </row>
    <row r="365" spans="1:25" ht="15.75" customHeight="1" x14ac:dyDescent="0.25">
      <c r="A365" s="9"/>
      <c r="B365" s="10"/>
      <c r="C365" s="10"/>
      <c r="D365" s="11">
        <v>27.470000000000098</v>
      </c>
      <c r="E365" s="72" t="s">
        <v>281</v>
      </c>
      <c r="F365" s="18" t="s">
        <v>17</v>
      </c>
      <c r="G365" s="24">
        <v>100</v>
      </c>
      <c r="H365" s="24">
        <v>650</v>
      </c>
      <c r="I365" s="24">
        <f t="shared" si="12"/>
        <v>65000</v>
      </c>
      <c r="J365" s="71"/>
      <c r="K365" s="15"/>
      <c r="L365" s="15"/>
      <c r="M365" s="15"/>
      <c r="N365" s="71"/>
      <c r="O365" s="15">
        <f>N365*650</f>
        <v>0</v>
      </c>
      <c r="P365" s="15">
        <f t="shared" si="13"/>
        <v>100</v>
      </c>
      <c r="Q365" s="15">
        <f t="shared" si="14"/>
        <v>65000</v>
      </c>
      <c r="R365" s="16"/>
      <c r="S365" s="3"/>
      <c r="T365" s="3"/>
      <c r="U365" s="3"/>
      <c r="V365" s="3"/>
      <c r="W365" s="3"/>
      <c r="X365" s="3"/>
      <c r="Y365" s="3"/>
    </row>
    <row r="366" spans="1:25" ht="15.75" customHeight="1" x14ac:dyDescent="0.25">
      <c r="A366" s="9"/>
      <c r="B366" s="10"/>
      <c r="C366" s="10"/>
      <c r="D366" s="11">
        <v>27.4800000000001</v>
      </c>
      <c r="E366" s="72" t="s">
        <v>282</v>
      </c>
      <c r="F366" s="18" t="s">
        <v>17</v>
      </c>
      <c r="G366" s="24">
        <v>101</v>
      </c>
      <c r="H366" s="24">
        <v>550</v>
      </c>
      <c r="I366" s="24">
        <f t="shared" si="12"/>
        <v>55550</v>
      </c>
      <c r="J366" s="71"/>
      <c r="K366" s="15"/>
      <c r="L366" s="15"/>
      <c r="M366" s="15"/>
      <c r="N366" s="71"/>
      <c r="O366" s="15"/>
      <c r="P366" s="15">
        <f t="shared" si="13"/>
        <v>101</v>
      </c>
      <c r="Q366" s="15">
        <f t="shared" si="14"/>
        <v>55550</v>
      </c>
      <c r="R366" s="16"/>
      <c r="S366" s="3"/>
      <c r="T366" s="3"/>
      <c r="U366" s="3"/>
      <c r="V366" s="3"/>
      <c r="W366" s="3"/>
      <c r="X366" s="3"/>
      <c r="Y366" s="3"/>
    </row>
    <row r="367" spans="1:25" ht="15.75" customHeight="1" x14ac:dyDescent="0.25">
      <c r="A367" s="9"/>
      <c r="B367" s="10"/>
      <c r="C367" s="10"/>
      <c r="D367" s="11">
        <v>27.490000000000101</v>
      </c>
      <c r="E367" s="10" t="s">
        <v>283</v>
      </c>
      <c r="F367" s="18" t="s">
        <v>17</v>
      </c>
      <c r="G367" s="24">
        <v>17</v>
      </c>
      <c r="H367" s="24">
        <v>700</v>
      </c>
      <c r="I367" s="24">
        <f t="shared" si="12"/>
        <v>11900</v>
      </c>
      <c r="J367" s="71"/>
      <c r="K367" s="15"/>
      <c r="L367" s="15"/>
      <c r="M367" s="15"/>
      <c r="N367" s="71"/>
      <c r="O367" s="15"/>
      <c r="P367" s="15">
        <f t="shared" si="13"/>
        <v>17</v>
      </c>
      <c r="Q367" s="15">
        <f t="shared" si="14"/>
        <v>11900</v>
      </c>
      <c r="R367" s="16"/>
      <c r="S367" s="3"/>
      <c r="T367" s="3"/>
      <c r="U367" s="3"/>
      <c r="V367" s="3"/>
      <c r="W367" s="3"/>
      <c r="X367" s="3"/>
      <c r="Y367" s="3"/>
    </row>
    <row r="368" spans="1:25" ht="15.75" customHeight="1" x14ac:dyDescent="0.25">
      <c r="A368" s="9"/>
      <c r="B368" s="10"/>
      <c r="C368" s="10"/>
      <c r="D368" s="33">
        <v>27.500000000000099</v>
      </c>
      <c r="E368" s="10" t="s">
        <v>284</v>
      </c>
      <c r="F368" s="18" t="s">
        <v>17</v>
      </c>
      <c r="G368" s="24">
        <v>17</v>
      </c>
      <c r="H368" s="24">
        <v>650</v>
      </c>
      <c r="I368" s="24">
        <f t="shared" si="12"/>
        <v>11050</v>
      </c>
      <c r="J368" s="71"/>
      <c r="K368" s="15"/>
      <c r="L368" s="15"/>
      <c r="M368" s="15"/>
      <c r="N368" s="71"/>
      <c r="O368" s="15"/>
      <c r="P368" s="15">
        <f t="shared" si="13"/>
        <v>17</v>
      </c>
      <c r="Q368" s="15">
        <f t="shared" si="14"/>
        <v>11050</v>
      </c>
      <c r="R368" s="16"/>
      <c r="S368" s="3"/>
      <c r="T368" s="3"/>
      <c r="U368" s="3"/>
      <c r="V368" s="3"/>
      <c r="W368" s="3"/>
      <c r="X368" s="3"/>
      <c r="Y368" s="3"/>
    </row>
    <row r="369" spans="1:25" ht="15.75" customHeight="1" x14ac:dyDescent="0.25">
      <c r="A369" s="9"/>
      <c r="B369" s="10"/>
      <c r="C369" s="10"/>
      <c r="D369" s="11">
        <v>27.510000000000101</v>
      </c>
      <c r="E369" s="72" t="s">
        <v>285</v>
      </c>
      <c r="F369" s="18" t="s">
        <v>17</v>
      </c>
      <c r="G369" s="24">
        <v>1200</v>
      </c>
      <c r="H369" s="24">
        <v>9</v>
      </c>
      <c r="I369" s="24">
        <f t="shared" si="12"/>
        <v>10800</v>
      </c>
      <c r="J369" s="71"/>
      <c r="K369" s="15"/>
      <c r="L369" s="15">
        <v>1000</v>
      </c>
      <c r="M369" s="15">
        <f>L369*9</f>
        <v>9000</v>
      </c>
      <c r="N369" s="71"/>
      <c r="O369" s="15"/>
      <c r="P369" s="15">
        <f t="shared" si="13"/>
        <v>200</v>
      </c>
      <c r="Q369" s="15">
        <f t="shared" si="14"/>
        <v>1800</v>
      </c>
      <c r="R369" s="16"/>
      <c r="S369" s="3"/>
      <c r="T369" s="3"/>
      <c r="U369" s="3"/>
      <c r="V369" s="3"/>
      <c r="W369" s="3"/>
      <c r="X369" s="3"/>
      <c r="Y369" s="3"/>
    </row>
    <row r="370" spans="1:25" ht="15.75" customHeight="1" x14ac:dyDescent="0.25">
      <c r="A370" s="9"/>
      <c r="B370" s="10"/>
      <c r="C370" s="10"/>
      <c r="D370" s="11">
        <v>27.520000000000099</v>
      </c>
      <c r="E370" s="72" t="s">
        <v>286</v>
      </c>
      <c r="F370" s="18" t="s">
        <v>17</v>
      </c>
      <c r="G370" s="24">
        <v>4000</v>
      </c>
      <c r="H370" s="24">
        <v>9</v>
      </c>
      <c r="I370" s="24">
        <f t="shared" si="12"/>
        <v>36000</v>
      </c>
      <c r="J370" s="71"/>
      <c r="K370" s="15"/>
      <c r="L370" s="15">
        <v>4000</v>
      </c>
      <c r="M370" s="15">
        <f>L370*9</f>
        <v>36000</v>
      </c>
      <c r="N370" s="71"/>
      <c r="O370" s="15"/>
      <c r="P370" s="15">
        <f t="shared" si="13"/>
        <v>0</v>
      </c>
      <c r="Q370" s="15">
        <f t="shared" si="14"/>
        <v>0</v>
      </c>
      <c r="R370" s="16"/>
      <c r="S370" s="3"/>
      <c r="T370" s="3"/>
      <c r="U370" s="3"/>
      <c r="V370" s="3"/>
      <c r="W370" s="3"/>
      <c r="X370" s="3"/>
      <c r="Y370" s="3"/>
    </row>
    <row r="371" spans="1:25" ht="15.75" customHeight="1" x14ac:dyDescent="0.25">
      <c r="A371" s="9"/>
      <c r="B371" s="10"/>
      <c r="C371" s="10"/>
      <c r="D371" s="11">
        <v>27.530000000000101</v>
      </c>
      <c r="E371" s="72" t="s">
        <v>287</v>
      </c>
      <c r="F371" s="18" t="s">
        <v>17</v>
      </c>
      <c r="G371" s="24">
        <v>138</v>
      </c>
      <c r="H371" s="24">
        <v>75</v>
      </c>
      <c r="I371" s="24">
        <f t="shared" si="12"/>
        <v>10350</v>
      </c>
      <c r="J371" s="71"/>
      <c r="K371" s="15"/>
      <c r="L371" s="15">
        <v>100</v>
      </c>
      <c r="M371" s="15">
        <f>L371*75</f>
        <v>7500</v>
      </c>
      <c r="N371" s="71"/>
      <c r="O371" s="15"/>
      <c r="P371" s="15">
        <f t="shared" si="13"/>
        <v>38</v>
      </c>
      <c r="Q371" s="15">
        <f t="shared" si="14"/>
        <v>2850</v>
      </c>
      <c r="R371" s="16"/>
      <c r="S371" s="3"/>
      <c r="T371" s="3"/>
      <c r="U371" s="3"/>
      <c r="V371" s="3"/>
      <c r="W371" s="3"/>
      <c r="X371" s="3"/>
      <c r="Y371" s="3"/>
    </row>
    <row r="372" spans="1:25" ht="15.75" customHeight="1" x14ac:dyDescent="0.25">
      <c r="A372" s="9"/>
      <c r="B372" s="10"/>
      <c r="C372" s="10"/>
      <c r="D372" s="11">
        <v>27.540000000000099</v>
      </c>
      <c r="E372" s="72" t="s">
        <v>288</v>
      </c>
      <c r="F372" s="18" t="s">
        <v>17</v>
      </c>
      <c r="G372" s="24">
        <v>180</v>
      </c>
      <c r="H372" s="24">
        <v>75</v>
      </c>
      <c r="I372" s="24">
        <f t="shared" si="12"/>
        <v>13500</v>
      </c>
      <c r="J372" s="71"/>
      <c r="K372" s="15"/>
      <c r="L372" s="15">
        <v>150</v>
      </c>
      <c r="M372" s="15">
        <f>L372*75</f>
        <v>11250</v>
      </c>
      <c r="N372" s="71"/>
      <c r="O372" s="15"/>
      <c r="P372" s="15">
        <f t="shared" si="13"/>
        <v>30</v>
      </c>
      <c r="Q372" s="15">
        <f t="shared" si="14"/>
        <v>2250</v>
      </c>
      <c r="R372" s="16"/>
      <c r="S372" s="3"/>
      <c r="T372" s="3"/>
      <c r="U372" s="3"/>
      <c r="V372" s="3"/>
      <c r="W372" s="3"/>
      <c r="X372" s="3"/>
      <c r="Y372" s="3"/>
    </row>
    <row r="373" spans="1:25" ht="15.75" customHeight="1" x14ac:dyDescent="0.25">
      <c r="A373" s="9"/>
      <c r="B373" s="10"/>
      <c r="C373" s="10"/>
      <c r="D373" s="11">
        <v>27.5500000000001</v>
      </c>
      <c r="E373" s="10" t="s">
        <v>289</v>
      </c>
      <c r="F373" s="18" t="s">
        <v>17</v>
      </c>
      <c r="G373" s="24">
        <v>20</v>
      </c>
      <c r="H373" s="24">
        <v>100</v>
      </c>
      <c r="I373" s="24">
        <f t="shared" si="12"/>
        <v>2000</v>
      </c>
      <c r="J373" s="71"/>
      <c r="K373" s="15"/>
      <c r="L373" s="15">
        <v>20</v>
      </c>
      <c r="M373" s="15">
        <f>L373*100</f>
        <v>2000</v>
      </c>
      <c r="N373" s="71"/>
      <c r="O373" s="15"/>
      <c r="P373" s="15">
        <f t="shared" si="13"/>
        <v>0</v>
      </c>
      <c r="Q373" s="15">
        <f t="shared" si="14"/>
        <v>0</v>
      </c>
      <c r="R373" s="16"/>
      <c r="S373" s="3"/>
      <c r="T373" s="3"/>
      <c r="U373" s="3"/>
      <c r="V373" s="3"/>
      <c r="W373" s="3"/>
      <c r="X373" s="3"/>
      <c r="Y373" s="3"/>
    </row>
    <row r="374" spans="1:25" ht="15.75" customHeight="1" x14ac:dyDescent="0.25">
      <c r="A374" s="9"/>
      <c r="B374" s="10"/>
      <c r="C374" s="10"/>
      <c r="D374" s="11">
        <v>27.560000000000102</v>
      </c>
      <c r="E374" s="72" t="s">
        <v>290</v>
      </c>
      <c r="F374" s="18" t="s">
        <v>17</v>
      </c>
      <c r="G374" s="24">
        <v>15900</v>
      </c>
      <c r="H374" s="24">
        <v>1.2</v>
      </c>
      <c r="I374" s="24">
        <f t="shared" si="12"/>
        <v>19080</v>
      </c>
      <c r="J374" s="71"/>
      <c r="K374" s="15"/>
      <c r="L374" s="15">
        <v>6000</v>
      </c>
      <c r="M374" s="15">
        <f>L374*1.2</f>
        <v>7200</v>
      </c>
      <c r="N374" s="71">
        <v>3000</v>
      </c>
      <c r="O374" s="15">
        <f>N374*1.2</f>
        <v>3600</v>
      </c>
      <c r="P374" s="15">
        <f t="shared" si="13"/>
        <v>6900</v>
      </c>
      <c r="Q374" s="15">
        <f t="shared" si="14"/>
        <v>8280</v>
      </c>
      <c r="R374" s="16"/>
      <c r="S374" s="3"/>
      <c r="T374" s="3"/>
      <c r="U374" s="3"/>
      <c r="V374" s="3"/>
      <c r="W374" s="3"/>
      <c r="X374" s="3"/>
      <c r="Y374" s="3"/>
    </row>
    <row r="375" spans="1:25" ht="15.75" customHeight="1" x14ac:dyDescent="0.25">
      <c r="A375" s="9"/>
      <c r="B375" s="10"/>
      <c r="C375" s="10"/>
      <c r="D375" s="11">
        <v>27.5700000000001</v>
      </c>
      <c r="E375" s="72" t="s">
        <v>291</v>
      </c>
      <c r="F375" s="18" t="s">
        <v>17</v>
      </c>
      <c r="G375" s="24">
        <v>7</v>
      </c>
      <c r="H375" s="24">
        <v>115</v>
      </c>
      <c r="I375" s="24">
        <f t="shared" si="12"/>
        <v>805</v>
      </c>
      <c r="J375" s="71"/>
      <c r="K375" s="15"/>
      <c r="L375" s="15"/>
      <c r="M375" s="15"/>
      <c r="N375" s="71"/>
      <c r="O375" s="15"/>
      <c r="P375" s="15">
        <f t="shared" si="13"/>
        <v>7</v>
      </c>
      <c r="Q375" s="15">
        <f t="shared" si="14"/>
        <v>805</v>
      </c>
      <c r="R375" s="16"/>
      <c r="S375" s="3"/>
      <c r="T375" s="3"/>
      <c r="U375" s="3"/>
      <c r="V375" s="3"/>
      <c r="W375" s="3"/>
      <c r="X375" s="3"/>
      <c r="Y375" s="3"/>
    </row>
    <row r="376" spans="1:25" ht="15.75" customHeight="1" x14ac:dyDescent="0.25">
      <c r="A376" s="9"/>
      <c r="B376" s="10"/>
      <c r="C376" s="10"/>
      <c r="D376" s="11">
        <v>27.580000000000101</v>
      </c>
      <c r="E376" s="72" t="s">
        <v>292</v>
      </c>
      <c r="F376" s="18" t="s">
        <v>17</v>
      </c>
      <c r="G376" s="24">
        <v>17</v>
      </c>
      <c r="H376" s="24">
        <v>121</v>
      </c>
      <c r="I376" s="24">
        <f t="shared" si="12"/>
        <v>2057</v>
      </c>
      <c r="J376" s="71"/>
      <c r="K376" s="15"/>
      <c r="L376" s="15"/>
      <c r="M376" s="15"/>
      <c r="N376" s="71"/>
      <c r="O376" s="15"/>
      <c r="P376" s="15">
        <f t="shared" si="13"/>
        <v>17</v>
      </c>
      <c r="Q376" s="15">
        <f t="shared" si="14"/>
        <v>2057</v>
      </c>
      <c r="R376" s="16"/>
      <c r="S376" s="3"/>
      <c r="T376" s="3"/>
      <c r="U376" s="3"/>
      <c r="V376" s="3"/>
      <c r="W376" s="3"/>
      <c r="X376" s="3"/>
      <c r="Y376" s="3"/>
    </row>
    <row r="377" spans="1:25" ht="15.75" customHeight="1" x14ac:dyDescent="0.25">
      <c r="A377" s="9"/>
      <c r="B377" s="10"/>
      <c r="C377" s="10"/>
      <c r="D377" s="11">
        <v>27.590000000000099</v>
      </c>
      <c r="E377" s="72" t="s">
        <v>293</v>
      </c>
      <c r="F377" s="18" t="s">
        <v>17</v>
      </c>
      <c r="G377" s="24">
        <v>6</v>
      </c>
      <c r="H377" s="24">
        <v>25</v>
      </c>
      <c r="I377" s="24">
        <f t="shared" si="12"/>
        <v>150</v>
      </c>
      <c r="J377" s="71"/>
      <c r="K377" s="15"/>
      <c r="L377" s="15"/>
      <c r="M377" s="15"/>
      <c r="N377" s="71"/>
      <c r="O377" s="15"/>
      <c r="P377" s="15">
        <f t="shared" si="13"/>
        <v>6</v>
      </c>
      <c r="Q377" s="15">
        <f t="shared" si="14"/>
        <v>150</v>
      </c>
      <c r="R377" s="16"/>
      <c r="S377" s="3"/>
      <c r="T377" s="3"/>
      <c r="U377" s="3"/>
      <c r="V377" s="3"/>
      <c r="W377" s="3"/>
      <c r="X377" s="3"/>
      <c r="Y377" s="3"/>
    </row>
    <row r="378" spans="1:25" ht="15.75" customHeight="1" x14ac:dyDescent="0.25">
      <c r="A378" s="9"/>
      <c r="B378" s="10"/>
      <c r="C378" s="10"/>
      <c r="D378" s="33">
        <v>27.600000000000101</v>
      </c>
      <c r="E378" s="70" t="s">
        <v>294</v>
      </c>
      <c r="F378" s="18" t="s">
        <v>17</v>
      </c>
      <c r="G378" s="24">
        <v>18</v>
      </c>
      <c r="H378" s="24">
        <v>25</v>
      </c>
      <c r="I378" s="24">
        <f t="shared" si="12"/>
        <v>450</v>
      </c>
      <c r="J378" s="71"/>
      <c r="K378" s="15"/>
      <c r="L378" s="15"/>
      <c r="M378" s="15"/>
      <c r="N378" s="71"/>
      <c r="O378" s="15"/>
      <c r="P378" s="15">
        <f t="shared" si="13"/>
        <v>18</v>
      </c>
      <c r="Q378" s="15">
        <f t="shared" si="14"/>
        <v>450</v>
      </c>
      <c r="R378" s="16"/>
      <c r="S378" s="3"/>
      <c r="T378" s="3"/>
      <c r="U378" s="3"/>
      <c r="V378" s="3"/>
      <c r="W378" s="3"/>
      <c r="X378" s="3"/>
      <c r="Y378" s="3"/>
    </row>
    <row r="379" spans="1:25" ht="15.75" customHeight="1" x14ac:dyDescent="0.25">
      <c r="A379" s="9"/>
      <c r="B379" s="10"/>
      <c r="C379" s="10"/>
      <c r="D379" s="11">
        <v>27.610000000000099</v>
      </c>
      <c r="E379" s="70" t="s">
        <v>295</v>
      </c>
      <c r="F379" s="18" t="s">
        <v>17</v>
      </c>
      <c r="G379" s="24">
        <v>106</v>
      </c>
      <c r="H379" s="24">
        <v>50</v>
      </c>
      <c r="I379" s="24">
        <f t="shared" si="12"/>
        <v>5300</v>
      </c>
      <c r="J379" s="71"/>
      <c r="K379" s="15"/>
      <c r="L379" s="15"/>
      <c r="M379" s="15"/>
      <c r="N379" s="71">
        <v>50</v>
      </c>
      <c r="O379" s="15">
        <f>N379*50</f>
        <v>2500</v>
      </c>
      <c r="P379" s="15">
        <f t="shared" si="13"/>
        <v>56</v>
      </c>
      <c r="Q379" s="15">
        <f t="shared" si="14"/>
        <v>2800</v>
      </c>
      <c r="R379" s="16"/>
      <c r="S379" s="3"/>
      <c r="T379" s="3"/>
      <c r="U379" s="3"/>
      <c r="V379" s="3"/>
      <c r="W379" s="3"/>
      <c r="X379" s="3"/>
      <c r="Y379" s="3"/>
    </row>
    <row r="380" spans="1:25" ht="15.75" customHeight="1" x14ac:dyDescent="0.25">
      <c r="A380" s="9"/>
      <c r="B380" s="10"/>
      <c r="C380" s="10"/>
      <c r="D380" s="11">
        <v>27.6200000000001</v>
      </c>
      <c r="E380" s="72" t="s">
        <v>296</v>
      </c>
      <c r="F380" s="18" t="s">
        <v>17</v>
      </c>
      <c r="G380" s="24">
        <v>47</v>
      </c>
      <c r="H380" s="24">
        <v>22</v>
      </c>
      <c r="I380" s="24">
        <f t="shared" si="12"/>
        <v>1034</v>
      </c>
      <c r="J380" s="71"/>
      <c r="K380" s="15"/>
      <c r="L380" s="15"/>
      <c r="M380" s="15"/>
      <c r="N380" s="71"/>
      <c r="O380" s="15"/>
      <c r="P380" s="15">
        <f t="shared" si="13"/>
        <v>47</v>
      </c>
      <c r="Q380" s="15">
        <f t="shared" si="14"/>
        <v>1034</v>
      </c>
      <c r="R380" s="16"/>
      <c r="S380" s="3"/>
      <c r="T380" s="3"/>
      <c r="U380" s="3"/>
      <c r="V380" s="3"/>
      <c r="W380" s="3"/>
      <c r="X380" s="3"/>
      <c r="Y380" s="3"/>
    </row>
    <row r="381" spans="1:25" ht="15.75" customHeight="1" x14ac:dyDescent="0.25">
      <c r="A381" s="9"/>
      <c r="B381" s="10"/>
      <c r="C381" s="10"/>
      <c r="D381" s="11">
        <v>27.630000000000098</v>
      </c>
      <c r="E381" s="72" t="s">
        <v>297</v>
      </c>
      <c r="F381" s="18" t="s">
        <v>17</v>
      </c>
      <c r="G381" s="24">
        <v>11</v>
      </c>
      <c r="H381" s="24">
        <v>22</v>
      </c>
      <c r="I381" s="24">
        <f t="shared" si="12"/>
        <v>242</v>
      </c>
      <c r="J381" s="71"/>
      <c r="K381" s="15"/>
      <c r="L381" s="15"/>
      <c r="M381" s="15"/>
      <c r="N381" s="71"/>
      <c r="O381" s="15"/>
      <c r="P381" s="15">
        <f t="shared" si="13"/>
        <v>11</v>
      </c>
      <c r="Q381" s="15">
        <f t="shared" si="14"/>
        <v>242</v>
      </c>
      <c r="R381" s="16"/>
      <c r="S381" s="3"/>
      <c r="T381" s="3"/>
      <c r="U381" s="3"/>
      <c r="V381" s="3"/>
      <c r="W381" s="3"/>
      <c r="X381" s="3"/>
      <c r="Y381" s="3"/>
    </row>
    <row r="382" spans="1:25" ht="15.75" customHeight="1" x14ac:dyDescent="0.25">
      <c r="A382" s="9"/>
      <c r="B382" s="10"/>
      <c r="C382" s="10"/>
      <c r="D382" s="11">
        <v>27.6400000000001</v>
      </c>
      <c r="E382" s="72" t="s">
        <v>298</v>
      </c>
      <c r="F382" s="18" t="s">
        <v>17</v>
      </c>
      <c r="G382" s="24">
        <v>50</v>
      </c>
      <c r="H382" s="24">
        <v>24</v>
      </c>
      <c r="I382" s="24">
        <f t="shared" si="12"/>
        <v>1200</v>
      </c>
      <c r="J382" s="71"/>
      <c r="K382" s="15"/>
      <c r="L382" s="15">
        <v>50</v>
      </c>
      <c r="M382" s="15">
        <f>L382*24</f>
        <v>1200</v>
      </c>
      <c r="N382" s="71"/>
      <c r="O382" s="15"/>
      <c r="P382" s="15">
        <f t="shared" si="13"/>
        <v>0</v>
      </c>
      <c r="Q382" s="15">
        <f t="shared" si="14"/>
        <v>0</v>
      </c>
      <c r="R382" s="16"/>
      <c r="S382" s="3"/>
      <c r="T382" s="3"/>
      <c r="U382" s="3"/>
      <c r="V382" s="3"/>
      <c r="W382" s="3"/>
      <c r="X382" s="3"/>
      <c r="Y382" s="3"/>
    </row>
    <row r="383" spans="1:25" ht="15.75" customHeight="1" x14ac:dyDescent="0.25">
      <c r="A383" s="9"/>
      <c r="B383" s="10"/>
      <c r="C383" s="10"/>
      <c r="D383" s="11">
        <v>27.650000000000102</v>
      </c>
      <c r="E383" s="72" t="s">
        <v>299</v>
      </c>
      <c r="F383" s="18" t="s">
        <v>17</v>
      </c>
      <c r="G383" s="24">
        <v>928</v>
      </c>
      <c r="H383" s="24">
        <v>8</v>
      </c>
      <c r="I383" s="24">
        <f t="shared" si="12"/>
        <v>7424</v>
      </c>
      <c r="J383" s="71"/>
      <c r="K383" s="15"/>
      <c r="L383" s="15">
        <v>300</v>
      </c>
      <c r="M383" s="15">
        <f>L383*8</f>
        <v>2400</v>
      </c>
      <c r="N383" s="71">
        <v>300</v>
      </c>
      <c r="O383" s="15">
        <f>N383*8</f>
        <v>2400</v>
      </c>
      <c r="P383" s="15">
        <f t="shared" si="13"/>
        <v>328</v>
      </c>
      <c r="Q383" s="15">
        <f t="shared" si="14"/>
        <v>2624</v>
      </c>
      <c r="R383" s="16"/>
      <c r="S383" s="3"/>
      <c r="T383" s="3"/>
      <c r="U383" s="3"/>
      <c r="V383" s="3"/>
      <c r="W383" s="3"/>
      <c r="X383" s="3"/>
      <c r="Y383" s="3"/>
    </row>
    <row r="384" spans="1:25" ht="15.75" customHeight="1" x14ac:dyDescent="0.25">
      <c r="A384" s="9"/>
      <c r="B384" s="10"/>
      <c r="C384" s="10"/>
      <c r="D384" s="11">
        <v>27.6600000000001</v>
      </c>
      <c r="E384" s="72" t="s">
        <v>300</v>
      </c>
      <c r="F384" s="18" t="s">
        <v>17</v>
      </c>
      <c r="G384" s="24">
        <v>10</v>
      </c>
      <c r="H384" s="24">
        <v>8</v>
      </c>
      <c r="I384" s="24">
        <f t="shared" ref="I384:I406" si="15">H384*G384</f>
        <v>80</v>
      </c>
      <c r="J384" s="71"/>
      <c r="K384" s="15"/>
      <c r="L384" s="15"/>
      <c r="M384" s="15"/>
      <c r="N384" s="71"/>
      <c r="O384" s="15"/>
      <c r="P384" s="15">
        <f t="shared" ref="P384:P406" si="16">G384-J384-L384-N384</f>
        <v>10</v>
      </c>
      <c r="Q384" s="15">
        <f t="shared" ref="Q384:Q406" si="17">I384-K384-M384-O384</f>
        <v>80</v>
      </c>
      <c r="R384" s="16"/>
      <c r="S384" s="3"/>
      <c r="T384" s="3"/>
      <c r="U384" s="3"/>
      <c r="V384" s="3"/>
      <c r="W384" s="3"/>
      <c r="X384" s="3"/>
      <c r="Y384" s="3"/>
    </row>
    <row r="385" spans="1:25" ht="15.75" customHeight="1" x14ac:dyDescent="0.25">
      <c r="A385" s="9"/>
      <c r="B385" s="10"/>
      <c r="C385" s="10"/>
      <c r="D385" s="11">
        <v>27.670000000000101</v>
      </c>
      <c r="E385" s="72" t="s">
        <v>301</v>
      </c>
      <c r="F385" s="18" t="s">
        <v>17</v>
      </c>
      <c r="G385" s="24">
        <v>50</v>
      </c>
      <c r="H385" s="24">
        <v>48</v>
      </c>
      <c r="I385" s="24">
        <f t="shared" si="15"/>
        <v>2400</v>
      </c>
      <c r="J385" s="71"/>
      <c r="K385" s="15"/>
      <c r="L385" s="15">
        <v>50</v>
      </c>
      <c r="M385" s="15">
        <f>L385*48</f>
        <v>2400</v>
      </c>
      <c r="N385" s="71"/>
      <c r="O385" s="15"/>
      <c r="P385" s="15">
        <f t="shared" si="16"/>
        <v>0</v>
      </c>
      <c r="Q385" s="15">
        <f t="shared" si="17"/>
        <v>0</v>
      </c>
      <c r="R385" s="16"/>
      <c r="S385" s="3"/>
      <c r="T385" s="3"/>
      <c r="U385" s="3"/>
      <c r="V385" s="3"/>
      <c r="W385" s="3"/>
      <c r="X385" s="3"/>
      <c r="Y385" s="3"/>
    </row>
    <row r="386" spans="1:25" ht="15.75" customHeight="1" x14ac:dyDescent="0.25">
      <c r="A386" s="9"/>
      <c r="B386" s="10"/>
      <c r="C386" s="10"/>
      <c r="D386" s="11">
        <v>27.680000000000099</v>
      </c>
      <c r="E386" s="72" t="s">
        <v>302</v>
      </c>
      <c r="F386" s="18" t="s">
        <v>17</v>
      </c>
      <c r="G386" s="24">
        <v>14</v>
      </c>
      <c r="H386" s="24">
        <v>55</v>
      </c>
      <c r="I386" s="24">
        <f t="shared" si="15"/>
        <v>770</v>
      </c>
      <c r="J386" s="71"/>
      <c r="K386" s="15"/>
      <c r="L386" s="15"/>
      <c r="M386" s="15"/>
      <c r="N386" s="71"/>
      <c r="O386" s="15"/>
      <c r="P386" s="15">
        <f t="shared" si="16"/>
        <v>14</v>
      </c>
      <c r="Q386" s="15">
        <f t="shared" si="17"/>
        <v>770</v>
      </c>
      <c r="R386" s="16"/>
      <c r="S386" s="3"/>
      <c r="T386" s="3"/>
      <c r="U386" s="3"/>
      <c r="V386" s="3"/>
      <c r="W386" s="3"/>
      <c r="X386" s="3"/>
      <c r="Y386" s="3"/>
    </row>
    <row r="387" spans="1:25" ht="15.75" customHeight="1" x14ac:dyDescent="0.25">
      <c r="A387" s="9"/>
      <c r="B387" s="10"/>
      <c r="C387" s="10"/>
      <c r="D387" s="33">
        <v>27.690000000000101</v>
      </c>
      <c r="E387" s="72" t="s">
        <v>303</v>
      </c>
      <c r="F387" s="18" t="s">
        <v>17</v>
      </c>
      <c r="G387" s="24">
        <v>30</v>
      </c>
      <c r="H387" s="24">
        <v>65</v>
      </c>
      <c r="I387" s="24">
        <f t="shared" si="15"/>
        <v>1950</v>
      </c>
      <c r="J387" s="71"/>
      <c r="K387" s="15"/>
      <c r="L387" s="15">
        <v>30</v>
      </c>
      <c r="M387" s="15">
        <f>L387*65</f>
        <v>1950</v>
      </c>
      <c r="N387" s="71"/>
      <c r="O387" s="15"/>
      <c r="P387" s="15">
        <f t="shared" si="16"/>
        <v>0</v>
      </c>
      <c r="Q387" s="15">
        <f t="shared" si="17"/>
        <v>0</v>
      </c>
      <c r="R387" s="16"/>
      <c r="S387" s="3"/>
      <c r="T387" s="3"/>
      <c r="U387" s="3"/>
      <c r="V387" s="3"/>
      <c r="W387" s="3"/>
      <c r="X387" s="3"/>
      <c r="Y387" s="3"/>
    </row>
    <row r="388" spans="1:25" ht="15.75" customHeight="1" x14ac:dyDescent="0.25">
      <c r="A388" s="9"/>
      <c r="B388" s="10"/>
      <c r="C388" s="10"/>
      <c r="D388" s="33">
        <v>27.700000000000099</v>
      </c>
      <c r="E388" s="72" t="s">
        <v>304</v>
      </c>
      <c r="F388" s="18" t="s">
        <v>17</v>
      </c>
      <c r="G388" s="24">
        <v>217</v>
      </c>
      <c r="H388" s="24">
        <v>15.95</v>
      </c>
      <c r="I388" s="24">
        <f t="shared" si="15"/>
        <v>3461.1499999999996</v>
      </c>
      <c r="J388" s="71"/>
      <c r="K388" s="15"/>
      <c r="L388" s="15">
        <v>200</v>
      </c>
      <c r="M388" s="15">
        <f>L388*15.95</f>
        <v>3190</v>
      </c>
      <c r="N388" s="71"/>
      <c r="O388" s="15"/>
      <c r="P388" s="15">
        <f t="shared" si="16"/>
        <v>17</v>
      </c>
      <c r="Q388" s="15">
        <f t="shared" si="17"/>
        <v>271.14999999999964</v>
      </c>
      <c r="R388" s="16"/>
      <c r="S388" s="3"/>
      <c r="T388" s="3"/>
      <c r="U388" s="3"/>
      <c r="V388" s="3"/>
      <c r="W388" s="3"/>
      <c r="X388" s="3"/>
      <c r="Y388" s="3"/>
    </row>
    <row r="389" spans="1:25" ht="15.75" customHeight="1" x14ac:dyDescent="0.25">
      <c r="A389" s="9"/>
      <c r="B389" s="10"/>
      <c r="C389" s="10"/>
      <c r="D389" s="11">
        <v>27.7100000000001</v>
      </c>
      <c r="E389" s="72" t="s">
        <v>305</v>
      </c>
      <c r="F389" s="18" t="s">
        <v>17</v>
      </c>
      <c r="G389" s="24">
        <v>200</v>
      </c>
      <c r="H389" s="24">
        <v>7</v>
      </c>
      <c r="I389" s="24">
        <f t="shared" si="15"/>
        <v>1400</v>
      </c>
      <c r="J389" s="71"/>
      <c r="K389" s="15"/>
      <c r="L389" s="15">
        <v>200</v>
      </c>
      <c r="M389" s="15">
        <f>L389*7</f>
        <v>1400</v>
      </c>
      <c r="N389" s="71"/>
      <c r="O389" s="15"/>
      <c r="P389" s="15">
        <f t="shared" si="16"/>
        <v>0</v>
      </c>
      <c r="Q389" s="15">
        <f t="shared" si="17"/>
        <v>0</v>
      </c>
      <c r="R389" s="16"/>
      <c r="S389" s="3"/>
      <c r="T389" s="3"/>
      <c r="U389" s="3"/>
      <c r="V389" s="3"/>
      <c r="W389" s="3"/>
      <c r="X389" s="3"/>
      <c r="Y389" s="3"/>
    </row>
    <row r="390" spans="1:25" ht="15.75" customHeight="1" x14ac:dyDescent="0.25">
      <c r="A390" s="9"/>
      <c r="B390" s="10"/>
      <c r="C390" s="10"/>
      <c r="D390" s="11">
        <v>27.720000000000098</v>
      </c>
      <c r="E390" s="72" t="s">
        <v>306</v>
      </c>
      <c r="F390" s="18" t="s">
        <v>17</v>
      </c>
      <c r="G390" s="24">
        <v>128</v>
      </c>
      <c r="H390" s="24">
        <v>34</v>
      </c>
      <c r="I390" s="24">
        <f t="shared" si="15"/>
        <v>4352</v>
      </c>
      <c r="J390" s="71"/>
      <c r="K390" s="15"/>
      <c r="L390" s="15"/>
      <c r="M390" s="15"/>
      <c r="N390" s="71">
        <v>60</v>
      </c>
      <c r="O390" s="15">
        <f>N390*34</f>
        <v>2040</v>
      </c>
      <c r="P390" s="15">
        <f t="shared" si="16"/>
        <v>68</v>
      </c>
      <c r="Q390" s="15">
        <f t="shared" si="17"/>
        <v>2312</v>
      </c>
      <c r="R390" s="16"/>
      <c r="S390" s="3"/>
      <c r="T390" s="3"/>
      <c r="U390" s="3"/>
      <c r="V390" s="3"/>
      <c r="W390" s="3"/>
      <c r="X390" s="3"/>
      <c r="Y390" s="3"/>
    </row>
    <row r="391" spans="1:25" ht="15.75" customHeight="1" x14ac:dyDescent="0.25">
      <c r="A391" s="9"/>
      <c r="B391" s="10"/>
      <c r="C391" s="10"/>
      <c r="D391" s="11">
        <v>27.7300000000001</v>
      </c>
      <c r="E391" s="72" t="s">
        <v>307</v>
      </c>
      <c r="F391" s="18" t="s">
        <v>17</v>
      </c>
      <c r="G391" s="24">
        <v>184</v>
      </c>
      <c r="H391" s="24">
        <v>54</v>
      </c>
      <c r="I391" s="24">
        <f t="shared" si="15"/>
        <v>9936</v>
      </c>
      <c r="J391" s="71"/>
      <c r="K391" s="15"/>
      <c r="L391" s="15">
        <v>60</v>
      </c>
      <c r="M391" s="15">
        <f>L391*54</f>
        <v>3240</v>
      </c>
      <c r="N391" s="71">
        <v>60</v>
      </c>
      <c r="O391" s="15">
        <f>N391*54</f>
        <v>3240</v>
      </c>
      <c r="P391" s="15">
        <f t="shared" si="16"/>
        <v>64</v>
      </c>
      <c r="Q391" s="15">
        <f t="shared" si="17"/>
        <v>3456</v>
      </c>
      <c r="R391" s="16"/>
      <c r="S391" s="3"/>
      <c r="T391" s="3"/>
      <c r="U391" s="3"/>
      <c r="V391" s="3"/>
      <c r="W391" s="3"/>
      <c r="X391" s="3"/>
      <c r="Y391" s="3"/>
    </row>
    <row r="392" spans="1:25" ht="15.75" customHeight="1" x14ac:dyDescent="0.25">
      <c r="A392" s="9"/>
      <c r="B392" s="10"/>
      <c r="C392" s="10"/>
      <c r="D392" s="11">
        <v>27.740000000000101</v>
      </c>
      <c r="E392" s="72" t="s">
        <v>308</v>
      </c>
      <c r="F392" s="18" t="s">
        <v>17</v>
      </c>
      <c r="G392" s="24">
        <v>200</v>
      </c>
      <c r="H392" s="24">
        <v>25</v>
      </c>
      <c r="I392" s="24">
        <f t="shared" si="15"/>
        <v>5000</v>
      </c>
      <c r="J392" s="71"/>
      <c r="K392" s="15"/>
      <c r="L392" s="15"/>
      <c r="M392" s="15"/>
      <c r="N392" s="71">
        <v>100</v>
      </c>
      <c r="O392" s="15">
        <f>N392*25</f>
        <v>2500</v>
      </c>
      <c r="P392" s="15">
        <f t="shared" si="16"/>
        <v>100</v>
      </c>
      <c r="Q392" s="15">
        <f t="shared" si="17"/>
        <v>2500</v>
      </c>
      <c r="R392" s="16"/>
      <c r="S392" s="3"/>
      <c r="T392" s="3"/>
      <c r="U392" s="3"/>
      <c r="V392" s="3"/>
      <c r="W392" s="3"/>
      <c r="X392" s="3"/>
      <c r="Y392" s="3"/>
    </row>
    <row r="393" spans="1:25" ht="15.75" customHeight="1" x14ac:dyDescent="0.25">
      <c r="A393" s="9"/>
      <c r="B393" s="10"/>
      <c r="C393" s="10"/>
      <c r="D393" s="11">
        <v>27.750000000000099</v>
      </c>
      <c r="E393" s="72" t="s">
        <v>309</v>
      </c>
      <c r="F393" s="18" t="s">
        <v>17</v>
      </c>
      <c r="G393" s="24">
        <v>153</v>
      </c>
      <c r="H393" s="24">
        <v>46</v>
      </c>
      <c r="I393" s="24">
        <f t="shared" si="15"/>
        <v>7038</v>
      </c>
      <c r="J393" s="71"/>
      <c r="K393" s="15"/>
      <c r="L393" s="15"/>
      <c r="M393" s="15"/>
      <c r="N393" s="71">
        <v>50</v>
      </c>
      <c r="O393" s="15">
        <f>N393*46</f>
        <v>2300</v>
      </c>
      <c r="P393" s="15">
        <f t="shared" si="16"/>
        <v>103</v>
      </c>
      <c r="Q393" s="15">
        <f t="shared" si="17"/>
        <v>4738</v>
      </c>
      <c r="R393" s="16"/>
      <c r="S393" s="3"/>
      <c r="T393" s="3"/>
      <c r="U393" s="3"/>
      <c r="V393" s="3"/>
      <c r="W393" s="3"/>
      <c r="X393" s="3"/>
      <c r="Y393" s="3"/>
    </row>
    <row r="394" spans="1:25" ht="15.75" customHeight="1" x14ac:dyDescent="0.25">
      <c r="A394" s="9"/>
      <c r="B394" s="10"/>
      <c r="C394" s="10"/>
      <c r="D394" s="11">
        <v>27.760000000000101</v>
      </c>
      <c r="E394" s="17" t="s">
        <v>310</v>
      </c>
      <c r="F394" s="18" t="s">
        <v>17</v>
      </c>
      <c r="G394" s="24">
        <v>5</v>
      </c>
      <c r="H394" s="24">
        <v>50</v>
      </c>
      <c r="I394" s="24">
        <f t="shared" si="15"/>
        <v>250</v>
      </c>
      <c r="J394" s="71"/>
      <c r="K394" s="15"/>
      <c r="L394" s="15"/>
      <c r="M394" s="15"/>
      <c r="N394" s="71"/>
      <c r="O394" s="15"/>
      <c r="P394" s="15">
        <f t="shared" si="16"/>
        <v>5</v>
      </c>
      <c r="Q394" s="15">
        <f t="shared" si="17"/>
        <v>250</v>
      </c>
      <c r="R394" s="16"/>
      <c r="S394" s="3"/>
      <c r="T394" s="3"/>
      <c r="U394" s="3"/>
      <c r="V394" s="3"/>
      <c r="W394" s="3"/>
      <c r="X394" s="3"/>
      <c r="Y394" s="3"/>
    </row>
    <row r="395" spans="1:25" ht="15.75" customHeight="1" x14ac:dyDescent="0.25">
      <c r="A395" s="9"/>
      <c r="B395" s="10"/>
      <c r="C395" s="10"/>
      <c r="D395" s="11">
        <v>27.770000000000099</v>
      </c>
      <c r="E395" s="72" t="s">
        <v>311</v>
      </c>
      <c r="F395" s="18" t="s">
        <v>17</v>
      </c>
      <c r="G395" s="24">
        <v>1</v>
      </c>
      <c r="H395" s="24">
        <v>1016</v>
      </c>
      <c r="I395" s="24">
        <f t="shared" si="15"/>
        <v>1016</v>
      </c>
      <c r="J395" s="71"/>
      <c r="K395" s="15"/>
      <c r="L395" s="15">
        <v>1</v>
      </c>
      <c r="M395" s="15">
        <v>1016</v>
      </c>
      <c r="N395" s="71"/>
      <c r="O395" s="15"/>
      <c r="P395" s="15">
        <f t="shared" si="16"/>
        <v>0</v>
      </c>
      <c r="Q395" s="15">
        <f t="shared" si="17"/>
        <v>0</v>
      </c>
      <c r="R395" s="16"/>
      <c r="S395" s="3"/>
      <c r="T395" s="3"/>
      <c r="U395" s="3"/>
      <c r="V395" s="3"/>
      <c r="W395" s="3"/>
      <c r="X395" s="3"/>
      <c r="Y395" s="3"/>
    </row>
    <row r="396" spans="1:25" ht="15.75" customHeight="1" x14ac:dyDescent="0.25">
      <c r="A396" s="9"/>
      <c r="B396" s="10"/>
      <c r="C396" s="10"/>
      <c r="D396" s="11">
        <v>27.780000000000101</v>
      </c>
      <c r="E396" s="72" t="s">
        <v>312</v>
      </c>
      <c r="F396" s="18" t="s">
        <v>17</v>
      </c>
      <c r="G396" s="24">
        <v>31</v>
      </c>
      <c r="H396" s="24">
        <v>120.6</v>
      </c>
      <c r="I396" s="24">
        <f t="shared" si="15"/>
        <v>3738.6</v>
      </c>
      <c r="J396" s="71"/>
      <c r="K396" s="15"/>
      <c r="L396" s="15"/>
      <c r="M396" s="15"/>
      <c r="N396" s="71"/>
      <c r="O396" s="15"/>
      <c r="P396" s="15">
        <f t="shared" si="16"/>
        <v>31</v>
      </c>
      <c r="Q396" s="15">
        <f t="shared" si="17"/>
        <v>3738.6</v>
      </c>
      <c r="R396" s="16"/>
      <c r="S396" s="3"/>
      <c r="T396" s="3"/>
      <c r="U396" s="3"/>
      <c r="V396" s="3"/>
      <c r="W396" s="3"/>
      <c r="X396" s="3"/>
      <c r="Y396" s="3"/>
    </row>
    <row r="397" spans="1:25" ht="15.75" customHeight="1" x14ac:dyDescent="0.25">
      <c r="A397" s="9"/>
      <c r="B397" s="10"/>
      <c r="C397" s="10"/>
      <c r="D397" s="11">
        <v>27.790000000000099</v>
      </c>
      <c r="E397" s="72" t="s">
        <v>313</v>
      </c>
      <c r="F397" s="18" t="s">
        <v>17</v>
      </c>
      <c r="G397" s="24">
        <v>19</v>
      </c>
      <c r="H397" s="24">
        <v>44</v>
      </c>
      <c r="I397" s="24">
        <f t="shared" si="15"/>
        <v>836</v>
      </c>
      <c r="J397" s="71"/>
      <c r="K397" s="15"/>
      <c r="L397" s="15"/>
      <c r="M397" s="15"/>
      <c r="N397" s="71"/>
      <c r="O397" s="15"/>
      <c r="P397" s="15">
        <f t="shared" si="16"/>
        <v>19</v>
      </c>
      <c r="Q397" s="15">
        <f t="shared" si="17"/>
        <v>836</v>
      </c>
      <c r="R397" s="16"/>
      <c r="S397" s="3"/>
      <c r="T397" s="3"/>
      <c r="U397" s="3"/>
      <c r="V397" s="3"/>
      <c r="W397" s="3"/>
      <c r="X397" s="3"/>
      <c r="Y397" s="3"/>
    </row>
    <row r="398" spans="1:25" ht="15.75" customHeight="1" x14ac:dyDescent="0.25">
      <c r="A398" s="9"/>
      <c r="B398" s="10"/>
      <c r="C398" s="10"/>
      <c r="D398" s="33">
        <v>27.8000000000001</v>
      </c>
      <c r="E398" s="72" t="s">
        <v>314</v>
      </c>
      <c r="F398" s="18" t="s">
        <v>17</v>
      </c>
      <c r="G398" s="24">
        <v>30</v>
      </c>
      <c r="H398" s="24">
        <v>10</v>
      </c>
      <c r="I398" s="24">
        <f t="shared" si="15"/>
        <v>300</v>
      </c>
      <c r="J398" s="71"/>
      <c r="K398" s="15"/>
      <c r="L398" s="15"/>
      <c r="M398" s="15"/>
      <c r="N398" s="71"/>
      <c r="O398" s="15"/>
      <c r="P398" s="15">
        <f t="shared" si="16"/>
        <v>30</v>
      </c>
      <c r="Q398" s="15">
        <f t="shared" si="17"/>
        <v>300</v>
      </c>
      <c r="R398" s="16"/>
      <c r="S398" s="3"/>
      <c r="T398" s="3"/>
      <c r="U398" s="3"/>
      <c r="V398" s="3"/>
      <c r="W398" s="3"/>
      <c r="X398" s="3"/>
      <c r="Y398" s="3"/>
    </row>
    <row r="399" spans="1:25" ht="15.75" customHeight="1" x14ac:dyDescent="0.25">
      <c r="A399" s="9"/>
      <c r="B399" s="10"/>
      <c r="C399" s="10"/>
      <c r="D399" s="11">
        <v>27.810000000000102</v>
      </c>
      <c r="E399" s="17" t="s">
        <v>315</v>
      </c>
      <c r="F399" s="18" t="s">
        <v>17</v>
      </c>
      <c r="G399" s="24">
        <v>27</v>
      </c>
      <c r="H399" s="24">
        <v>120</v>
      </c>
      <c r="I399" s="24">
        <f t="shared" si="15"/>
        <v>3240</v>
      </c>
      <c r="J399" s="71"/>
      <c r="K399" s="15"/>
      <c r="L399" s="15"/>
      <c r="M399" s="15"/>
      <c r="N399" s="71"/>
      <c r="O399" s="15"/>
      <c r="P399" s="15">
        <f t="shared" si="16"/>
        <v>27</v>
      </c>
      <c r="Q399" s="15">
        <f t="shared" si="17"/>
        <v>3240</v>
      </c>
      <c r="R399" s="16"/>
      <c r="S399" s="3"/>
      <c r="T399" s="3"/>
      <c r="U399" s="3"/>
      <c r="V399" s="3"/>
      <c r="W399" s="3"/>
      <c r="X399" s="3"/>
      <c r="Y399" s="3"/>
    </row>
    <row r="400" spans="1:25" ht="15.75" customHeight="1" x14ac:dyDescent="0.25">
      <c r="A400" s="9"/>
      <c r="B400" s="10"/>
      <c r="C400" s="10"/>
      <c r="D400" s="11">
        <v>27.8200000000001</v>
      </c>
      <c r="E400" s="72" t="s">
        <v>316</v>
      </c>
      <c r="F400" s="18" t="s">
        <v>17</v>
      </c>
      <c r="G400" s="24">
        <v>110</v>
      </c>
      <c r="H400" s="24">
        <v>31</v>
      </c>
      <c r="I400" s="24">
        <f t="shared" si="15"/>
        <v>3410</v>
      </c>
      <c r="J400" s="71"/>
      <c r="K400" s="15"/>
      <c r="L400" s="15"/>
      <c r="M400" s="15"/>
      <c r="N400" s="71">
        <v>50</v>
      </c>
      <c r="O400" s="15">
        <f>N400*31</f>
        <v>1550</v>
      </c>
      <c r="P400" s="15">
        <f t="shared" si="16"/>
        <v>60</v>
      </c>
      <c r="Q400" s="15">
        <f t="shared" si="17"/>
        <v>1860</v>
      </c>
      <c r="R400" s="16"/>
      <c r="S400" s="3"/>
      <c r="T400" s="3"/>
      <c r="U400" s="3"/>
      <c r="V400" s="3"/>
      <c r="W400" s="3"/>
      <c r="X400" s="3"/>
      <c r="Y400" s="3"/>
    </row>
    <row r="401" spans="1:25" ht="15.75" customHeight="1" x14ac:dyDescent="0.25">
      <c r="A401" s="9"/>
      <c r="B401" s="10"/>
      <c r="C401" s="10"/>
      <c r="D401" s="11">
        <v>27.830000000000101</v>
      </c>
      <c r="E401" s="72" t="s">
        <v>317</v>
      </c>
      <c r="F401" s="18" t="s">
        <v>17</v>
      </c>
      <c r="G401" s="24">
        <v>197</v>
      </c>
      <c r="H401" s="24">
        <v>28</v>
      </c>
      <c r="I401" s="24">
        <f t="shared" si="15"/>
        <v>5516</v>
      </c>
      <c r="J401" s="71"/>
      <c r="K401" s="15"/>
      <c r="L401" s="15"/>
      <c r="M401" s="15"/>
      <c r="N401" s="71">
        <v>100</v>
      </c>
      <c r="O401" s="15">
        <f>N401*28</f>
        <v>2800</v>
      </c>
      <c r="P401" s="15">
        <f t="shared" si="16"/>
        <v>97</v>
      </c>
      <c r="Q401" s="15">
        <f t="shared" si="17"/>
        <v>2716</v>
      </c>
      <c r="R401" s="16"/>
      <c r="S401" s="3"/>
      <c r="T401" s="3"/>
      <c r="U401" s="3"/>
      <c r="V401" s="3"/>
      <c r="W401" s="3"/>
      <c r="X401" s="3"/>
      <c r="Y401" s="3"/>
    </row>
    <row r="402" spans="1:25" ht="15.75" customHeight="1" x14ac:dyDescent="0.25">
      <c r="A402" s="9"/>
      <c r="B402" s="10"/>
      <c r="C402" s="10"/>
      <c r="D402" s="11">
        <v>27.840000000000099</v>
      </c>
      <c r="E402" s="72" t="s">
        <v>318</v>
      </c>
      <c r="F402" s="18" t="s">
        <v>17</v>
      </c>
      <c r="G402" s="24">
        <v>406</v>
      </c>
      <c r="H402" s="24">
        <v>23.3</v>
      </c>
      <c r="I402" s="24">
        <f t="shared" si="15"/>
        <v>9459.8000000000011</v>
      </c>
      <c r="J402" s="71"/>
      <c r="K402" s="15"/>
      <c r="L402" s="15"/>
      <c r="M402" s="15"/>
      <c r="N402" s="71">
        <v>200</v>
      </c>
      <c r="O402" s="15">
        <f>N402*23</f>
        <v>4600</v>
      </c>
      <c r="P402" s="15">
        <f t="shared" si="16"/>
        <v>206</v>
      </c>
      <c r="Q402" s="15">
        <f t="shared" si="17"/>
        <v>4859.8000000000011</v>
      </c>
      <c r="R402" s="16"/>
      <c r="S402" s="3"/>
      <c r="T402" s="3"/>
      <c r="U402" s="3"/>
      <c r="V402" s="3"/>
      <c r="W402" s="3"/>
      <c r="X402" s="3"/>
      <c r="Y402" s="3"/>
    </row>
    <row r="403" spans="1:25" ht="15.75" customHeight="1" x14ac:dyDescent="0.25">
      <c r="A403" s="9"/>
      <c r="B403" s="10"/>
      <c r="C403" s="10"/>
      <c r="D403" s="11">
        <v>27.850000000000101</v>
      </c>
      <c r="E403" s="72" t="s">
        <v>319</v>
      </c>
      <c r="F403" s="18" t="s">
        <v>17</v>
      </c>
      <c r="G403" s="24">
        <v>3</v>
      </c>
      <c r="H403" s="24">
        <v>17</v>
      </c>
      <c r="I403" s="24">
        <f t="shared" si="15"/>
        <v>51</v>
      </c>
      <c r="J403" s="71"/>
      <c r="K403" s="15"/>
      <c r="L403" s="15"/>
      <c r="M403" s="15"/>
      <c r="N403" s="71"/>
      <c r="O403" s="15"/>
      <c r="P403" s="15">
        <f t="shared" si="16"/>
        <v>3</v>
      </c>
      <c r="Q403" s="15">
        <f t="shared" si="17"/>
        <v>51</v>
      </c>
      <c r="R403" s="16"/>
      <c r="S403" s="3"/>
      <c r="T403" s="3"/>
      <c r="U403" s="3"/>
      <c r="V403" s="3"/>
      <c r="W403" s="3"/>
      <c r="X403" s="3"/>
      <c r="Y403" s="3"/>
    </row>
    <row r="404" spans="1:25" ht="15.75" customHeight="1" x14ac:dyDescent="0.25">
      <c r="A404" s="9"/>
      <c r="B404" s="10"/>
      <c r="C404" s="10"/>
      <c r="D404" s="11">
        <v>27.860000000000099</v>
      </c>
      <c r="E404" s="10" t="s">
        <v>320</v>
      </c>
      <c r="F404" s="18" t="s">
        <v>17</v>
      </c>
      <c r="G404" s="24">
        <v>26</v>
      </c>
      <c r="H404" s="24">
        <v>30</v>
      </c>
      <c r="I404" s="24">
        <f t="shared" si="15"/>
        <v>780</v>
      </c>
      <c r="J404" s="71"/>
      <c r="K404" s="15"/>
      <c r="L404" s="15">
        <v>20</v>
      </c>
      <c r="M404" s="15">
        <f>L404*30</f>
        <v>600</v>
      </c>
      <c r="N404" s="71"/>
      <c r="O404" s="15"/>
      <c r="P404" s="15">
        <f t="shared" si="16"/>
        <v>6</v>
      </c>
      <c r="Q404" s="15">
        <f t="shared" si="17"/>
        <v>180</v>
      </c>
      <c r="R404" s="16"/>
      <c r="S404" s="3"/>
      <c r="T404" s="3"/>
      <c r="U404" s="3"/>
      <c r="V404" s="3"/>
      <c r="W404" s="3"/>
      <c r="X404" s="3"/>
      <c r="Y404" s="3"/>
    </row>
    <row r="405" spans="1:25" ht="15.75" customHeight="1" x14ac:dyDescent="0.25">
      <c r="A405" s="9"/>
      <c r="B405" s="10"/>
      <c r="C405" s="10"/>
      <c r="D405" s="11">
        <v>27.87</v>
      </c>
      <c r="E405" s="72" t="s">
        <v>321</v>
      </c>
      <c r="F405" s="18" t="s">
        <v>17</v>
      </c>
      <c r="G405" s="24">
        <v>7</v>
      </c>
      <c r="H405" s="24">
        <v>20</v>
      </c>
      <c r="I405" s="24">
        <f t="shared" si="15"/>
        <v>140</v>
      </c>
      <c r="J405" s="71"/>
      <c r="K405" s="15"/>
      <c r="L405" s="15"/>
      <c r="M405" s="15"/>
      <c r="N405" s="71"/>
      <c r="O405" s="15"/>
      <c r="P405" s="15">
        <f t="shared" si="16"/>
        <v>7</v>
      </c>
      <c r="Q405" s="15">
        <f t="shared" si="17"/>
        <v>140</v>
      </c>
      <c r="R405" s="16"/>
      <c r="S405" s="3"/>
      <c r="T405" s="3"/>
      <c r="U405" s="3"/>
      <c r="V405" s="3"/>
      <c r="W405" s="3"/>
      <c r="X405" s="3"/>
      <c r="Y405" s="3"/>
    </row>
    <row r="406" spans="1:25" ht="15.75" customHeight="1" x14ac:dyDescent="0.25">
      <c r="A406" s="9"/>
      <c r="B406" s="10"/>
      <c r="C406" s="10"/>
      <c r="D406" s="11">
        <v>27.88</v>
      </c>
      <c r="E406" s="72" t="s">
        <v>322</v>
      </c>
      <c r="F406" s="18" t="s">
        <v>17</v>
      </c>
      <c r="G406" s="24">
        <v>13</v>
      </c>
      <c r="H406" s="24">
        <v>82.6</v>
      </c>
      <c r="I406" s="74">
        <f t="shared" si="15"/>
        <v>1073.8</v>
      </c>
      <c r="J406" s="71"/>
      <c r="K406" s="15"/>
      <c r="L406" s="15"/>
      <c r="M406" s="15"/>
      <c r="N406" s="71"/>
      <c r="O406" s="15"/>
      <c r="P406" s="15">
        <f t="shared" si="16"/>
        <v>13</v>
      </c>
      <c r="Q406" s="15">
        <f t="shared" si="17"/>
        <v>1073.8</v>
      </c>
      <c r="R406" s="16"/>
      <c r="S406" s="3"/>
      <c r="T406" s="3"/>
      <c r="U406" s="3"/>
      <c r="V406" s="3"/>
      <c r="W406" s="3"/>
      <c r="X406" s="3"/>
      <c r="Y406" s="3"/>
    </row>
    <row r="407" spans="1:25" ht="15.75" customHeight="1" x14ac:dyDescent="0.25">
      <c r="A407" s="9"/>
      <c r="B407" s="10"/>
      <c r="C407" s="10"/>
      <c r="D407" s="11">
        <v>27.89</v>
      </c>
      <c r="E407" s="72" t="s">
        <v>339</v>
      </c>
      <c r="F407" s="18"/>
      <c r="G407" s="75"/>
      <c r="H407" s="25"/>
      <c r="I407" s="74"/>
      <c r="J407" s="79"/>
      <c r="K407" s="15"/>
      <c r="L407" s="15"/>
      <c r="M407" s="15"/>
      <c r="N407" s="71"/>
      <c r="O407" s="15">
        <v>46513</v>
      </c>
      <c r="P407" s="15"/>
      <c r="Q407" s="15"/>
      <c r="R407" s="16"/>
      <c r="S407" s="3"/>
      <c r="T407" s="3"/>
      <c r="U407" s="3"/>
      <c r="V407" s="3"/>
      <c r="W407" s="3"/>
      <c r="X407" s="3"/>
      <c r="Y407" s="3"/>
    </row>
    <row r="408" spans="1:25" ht="15.75" customHeight="1" x14ac:dyDescent="0.25">
      <c r="A408" s="9"/>
      <c r="B408" s="10"/>
      <c r="C408" s="10"/>
      <c r="D408" s="11"/>
      <c r="E408" s="63"/>
      <c r="F408" s="18"/>
      <c r="G408" s="75"/>
      <c r="H408" s="25"/>
      <c r="I408" s="65">
        <f>SUM(I319:I406)</f>
        <v>858995.95000000007</v>
      </c>
      <c r="J408" s="28"/>
      <c r="K408" s="65">
        <f>SUM(K319:K406)</f>
        <v>85951</v>
      </c>
      <c r="L408" s="15"/>
      <c r="M408" s="65">
        <f>SUM(M319:M406)</f>
        <v>210202.5</v>
      </c>
      <c r="N408" s="15"/>
      <c r="O408" s="65">
        <f>SUM(O319:O406)</f>
        <v>116655</v>
      </c>
      <c r="P408" s="65"/>
      <c r="Q408" s="65">
        <f>SUM(Q319:Q406)</f>
        <v>446187.44999999995</v>
      </c>
      <c r="R408" s="16"/>
      <c r="S408" s="3"/>
      <c r="T408" s="3"/>
      <c r="U408" s="3"/>
      <c r="V408" s="3"/>
      <c r="W408" s="3"/>
      <c r="X408" s="3"/>
      <c r="Y408" s="3"/>
    </row>
    <row r="409" spans="1:25" ht="15.75" customHeight="1" x14ac:dyDescent="0.25">
      <c r="A409" s="9"/>
      <c r="B409" s="10"/>
      <c r="C409" s="10"/>
      <c r="D409" s="11"/>
      <c r="E409" s="29" t="s">
        <v>323</v>
      </c>
      <c r="F409" s="18"/>
      <c r="G409" s="24"/>
      <c r="H409" s="25"/>
      <c r="I409" s="64"/>
      <c r="J409" s="28"/>
      <c r="K409" s="65"/>
      <c r="L409" s="15"/>
      <c r="M409" s="65"/>
      <c r="N409" s="15"/>
      <c r="O409" s="65"/>
      <c r="P409" s="24"/>
      <c r="Q409" s="45"/>
      <c r="R409" s="64"/>
      <c r="S409" s="3"/>
      <c r="T409" s="3"/>
      <c r="U409" s="3"/>
      <c r="V409" s="3"/>
      <c r="W409" s="3"/>
      <c r="X409" s="3"/>
      <c r="Y409" s="3"/>
    </row>
    <row r="410" spans="1:25" ht="15.75" customHeight="1" x14ac:dyDescent="0.25">
      <c r="A410" s="9"/>
      <c r="B410" s="10"/>
      <c r="C410" s="10"/>
      <c r="D410" s="11">
        <v>28.1</v>
      </c>
      <c r="E410" s="17" t="s">
        <v>324</v>
      </c>
      <c r="F410" s="18" t="s">
        <v>17</v>
      </c>
      <c r="G410" s="24">
        <v>40</v>
      </c>
      <c r="H410" s="25"/>
      <c r="I410" s="26">
        <v>100000</v>
      </c>
      <c r="J410" s="28"/>
      <c r="K410" s="64"/>
      <c r="L410" s="15"/>
      <c r="M410" s="64"/>
      <c r="N410" s="15">
        <v>40</v>
      </c>
      <c r="O410" s="26">
        <v>100000</v>
      </c>
      <c r="P410" s="24"/>
      <c r="Q410" s="76"/>
      <c r="R410" s="64"/>
      <c r="S410" s="3"/>
      <c r="T410" s="3"/>
      <c r="U410" s="3"/>
      <c r="V410" s="3"/>
      <c r="W410" s="3"/>
      <c r="X410" s="3"/>
      <c r="Y410" s="3"/>
    </row>
    <row r="411" spans="1:25" ht="15.75" customHeight="1" x14ac:dyDescent="0.25">
      <c r="A411" s="9"/>
      <c r="B411" s="10"/>
      <c r="C411" s="10"/>
      <c r="D411" s="11">
        <v>28.2</v>
      </c>
      <c r="E411" s="17" t="s">
        <v>325</v>
      </c>
      <c r="F411" s="18" t="s">
        <v>17</v>
      </c>
      <c r="G411" s="24">
        <v>1</v>
      </c>
      <c r="H411" s="25"/>
      <c r="I411" s="26">
        <v>50000</v>
      </c>
      <c r="J411" s="28"/>
      <c r="K411" s="64"/>
      <c r="L411" s="15">
        <v>1</v>
      </c>
      <c r="M411" s="26">
        <v>25000</v>
      </c>
      <c r="N411" s="15"/>
      <c r="O411" s="26"/>
      <c r="P411" s="24">
        <v>1</v>
      </c>
      <c r="Q411" s="66">
        <v>25000</v>
      </c>
      <c r="R411" s="64"/>
      <c r="S411" s="3"/>
      <c r="T411" s="3"/>
      <c r="U411" s="3"/>
      <c r="V411" s="3"/>
      <c r="W411" s="3"/>
      <c r="X411" s="3"/>
      <c r="Y411" s="3"/>
    </row>
    <row r="412" spans="1:25" ht="15.75" customHeight="1" x14ac:dyDescent="0.25">
      <c r="A412" s="9"/>
      <c r="B412" s="10"/>
      <c r="C412" s="10"/>
      <c r="D412" s="11">
        <v>28.3</v>
      </c>
      <c r="E412" s="17" t="s">
        <v>326</v>
      </c>
      <c r="F412" s="18" t="s">
        <v>17</v>
      </c>
      <c r="G412" s="24">
        <v>50</v>
      </c>
      <c r="H412" s="25"/>
      <c r="I412" s="26">
        <v>250000</v>
      </c>
      <c r="J412" s="28"/>
      <c r="K412" s="64"/>
      <c r="L412" s="15"/>
      <c r="M412" s="26"/>
      <c r="N412" s="15"/>
      <c r="O412" s="26"/>
      <c r="P412" s="24">
        <v>50</v>
      </c>
      <c r="Q412" s="66">
        <v>250000</v>
      </c>
      <c r="R412" s="64"/>
      <c r="S412" s="3"/>
      <c r="T412" s="3"/>
      <c r="U412" s="3"/>
      <c r="V412" s="3"/>
      <c r="W412" s="3"/>
      <c r="X412" s="3"/>
      <c r="Y412" s="3"/>
    </row>
    <row r="413" spans="1:25" ht="15.75" customHeight="1" x14ac:dyDescent="0.25">
      <c r="A413" s="9"/>
      <c r="B413" s="10"/>
      <c r="C413" s="10"/>
      <c r="D413" s="11">
        <v>28.4</v>
      </c>
      <c r="E413" s="17" t="s">
        <v>337</v>
      </c>
      <c r="F413" s="18" t="s">
        <v>103</v>
      </c>
      <c r="G413" s="24">
        <v>18</v>
      </c>
      <c r="H413" s="25"/>
      <c r="I413" s="26">
        <v>500000</v>
      </c>
      <c r="J413" s="28"/>
      <c r="K413" s="64"/>
      <c r="L413" s="15"/>
      <c r="M413" s="26"/>
      <c r="N413" s="15">
        <v>18</v>
      </c>
      <c r="O413" s="26">
        <v>500000</v>
      </c>
      <c r="P413" s="24"/>
      <c r="Q413" s="66"/>
      <c r="R413" s="64"/>
      <c r="S413" s="3"/>
      <c r="T413" s="3"/>
      <c r="U413" s="3"/>
      <c r="V413" s="3"/>
      <c r="W413" s="3"/>
      <c r="X413" s="3"/>
      <c r="Y413" s="3"/>
    </row>
    <row r="414" spans="1:25" ht="15.75" customHeight="1" x14ac:dyDescent="0.25">
      <c r="A414" s="9"/>
      <c r="B414" s="10"/>
      <c r="C414" s="10"/>
      <c r="D414" s="11">
        <v>28.5</v>
      </c>
      <c r="E414" s="17" t="s">
        <v>343</v>
      </c>
      <c r="F414" s="18" t="s">
        <v>17</v>
      </c>
      <c r="G414" s="24">
        <v>26</v>
      </c>
      <c r="H414" s="25"/>
      <c r="I414" s="26">
        <v>42885</v>
      </c>
      <c r="J414" s="28"/>
      <c r="K414" s="64"/>
      <c r="L414" s="15"/>
      <c r="M414" s="26"/>
      <c r="N414" s="15">
        <v>26</v>
      </c>
      <c r="O414" s="26">
        <v>42885</v>
      </c>
      <c r="P414" s="24"/>
      <c r="Q414" s="66"/>
      <c r="R414" s="64"/>
      <c r="S414" s="3"/>
      <c r="T414" s="3"/>
      <c r="U414" s="3"/>
      <c r="V414" s="3"/>
      <c r="W414" s="3"/>
      <c r="X414" s="3"/>
      <c r="Y414" s="3"/>
    </row>
    <row r="415" spans="1:25" ht="15.75" customHeight="1" x14ac:dyDescent="0.25">
      <c r="A415" s="9"/>
      <c r="B415" s="10"/>
      <c r="C415" s="10"/>
      <c r="D415" s="11">
        <v>28.6</v>
      </c>
      <c r="E415" s="17" t="s">
        <v>354</v>
      </c>
      <c r="F415" s="18"/>
      <c r="G415" s="24"/>
      <c r="H415" s="25"/>
      <c r="I415" s="26">
        <f>M415+O415+Q415</f>
        <v>113400</v>
      </c>
      <c r="J415" s="28"/>
      <c r="K415" s="64"/>
      <c r="L415" s="15"/>
      <c r="M415" s="26">
        <v>45000</v>
      </c>
      <c r="N415" s="15"/>
      <c r="O415" s="26">
        <v>34200</v>
      </c>
      <c r="P415" s="24"/>
      <c r="Q415" s="66">
        <v>34200</v>
      </c>
      <c r="R415" s="64"/>
      <c r="S415" s="3"/>
      <c r="T415" s="3"/>
      <c r="U415" s="3"/>
      <c r="V415" s="3"/>
      <c r="W415" s="3"/>
      <c r="X415" s="3"/>
      <c r="Y415" s="3"/>
    </row>
    <row r="416" spans="1:25" ht="15.75" customHeight="1" x14ac:dyDescent="0.25">
      <c r="A416" s="9"/>
      <c r="B416" s="10"/>
      <c r="C416" s="10"/>
      <c r="D416" s="11"/>
      <c r="E416" s="29"/>
      <c r="F416" s="18"/>
      <c r="G416" s="24"/>
      <c r="H416" s="25"/>
      <c r="I416" s="64">
        <f>SUM(I410:I415)</f>
        <v>1056285</v>
      </c>
      <c r="J416" s="28"/>
      <c r="K416" s="64"/>
      <c r="L416" s="15"/>
      <c r="M416" s="64">
        <f>SUM(M410:M415)</f>
        <v>70000</v>
      </c>
      <c r="N416" s="15"/>
      <c r="O416" s="64">
        <f>SUM(O410:O415)</f>
        <v>677085</v>
      </c>
      <c r="P416" s="24"/>
      <c r="Q416" s="76">
        <f>SUM(Q411:Q415)</f>
        <v>309200</v>
      </c>
      <c r="R416" s="64"/>
      <c r="S416" s="84"/>
      <c r="T416" s="3"/>
      <c r="U416" s="3"/>
      <c r="V416" s="3"/>
      <c r="W416" s="3"/>
      <c r="X416" s="3"/>
      <c r="Y416" s="3"/>
    </row>
    <row r="417" spans="1:25" ht="15.75" customHeight="1" x14ac:dyDescent="0.25">
      <c r="A417" s="9"/>
      <c r="B417" s="10"/>
      <c r="C417" s="10"/>
      <c r="D417" s="11"/>
      <c r="E417" s="29"/>
      <c r="F417" s="18"/>
      <c r="G417" s="24"/>
      <c r="H417" s="25"/>
      <c r="I417" s="64"/>
      <c r="J417" s="28"/>
      <c r="K417" s="64"/>
      <c r="L417" s="15"/>
      <c r="M417" s="64"/>
      <c r="N417" s="15"/>
      <c r="O417" s="64"/>
      <c r="P417" s="24"/>
      <c r="Q417" s="76"/>
      <c r="R417" s="64"/>
      <c r="S417" s="3"/>
      <c r="T417" s="3"/>
      <c r="U417" s="3"/>
      <c r="V417" s="3"/>
      <c r="W417" s="3"/>
      <c r="X417" s="3"/>
      <c r="Y417" s="3"/>
    </row>
    <row r="418" spans="1:25" ht="15.75" customHeight="1" x14ac:dyDescent="0.25">
      <c r="A418" s="9"/>
      <c r="B418" s="10"/>
      <c r="C418" s="10"/>
      <c r="D418" s="11">
        <v>29</v>
      </c>
      <c r="E418" s="29" t="s">
        <v>327</v>
      </c>
      <c r="F418" s="18" t="s">
        <v>17</v>
      </c>
      <c r="G418" s="45">
        <v>51</v>
      </c>
      <c r="H418" s="25"/>
      <c r="I418" s="64">
        <f>M418</f>
        <v>295000</v>
      </c>
      <c r="J418" s="77"/>
      <c r="K418" s="64"/>
      <c r="L418" s="21">
        <f>(7+4+40)+(4+1+93)</f>
        <v>149</v>
      </c>
      <c r="M418" s="64">
        <f>145000+(49833+6921+69966+23280)</f>
        <v>295000</v>
      </c>
      <c r="N418" s="15"/>
      <c r="O418" s="64"/>
      <c r="P418" s="24"/>
      <c r="Q418" s="76"/>
      <c r="R418" s="64"/>
      <c r="S418" s="3"/>
      <c r="T418" s="3"/>
      <c r="U418" s="3"/>
      <c r="V418" s="3"/>
      <c r="W418" s="3"/>
      <c r="X418" s="3"/>
      <c r="Y418" s="3"/>
    </row>
    <row r="419" spans="1:25" ht="15.75" customHeight="1" x14ac:dyDescent="0.25">
      <c r="A419" s="9"/>
      <c r="B419" s="10"/>
      <c r="C419" s="10"/>
      <c r="D419" s="11"/>
      <c r="E419" s="29"/>
      <c r="F419" s="18"/>
      <c r="G419" s="24"/>
      <c r="H419" s="25"/>
      <c r="I419" s="64"/>
      <c r="J419" s="77"/>
      <c r="K419" s="64"/>
      <c r="L419" s="15"/>
      <c r="M419" s="64"/>
      <c r="N419" s="15"/>
      <c r="O419" s="64"/>
      <c r="P419" s="24"/>
      <c r="Q419" s="76"/>
      <c r="R419" s="64"/>
      <c r="S419" s="3"/>
      <c r="T419" s="3"/>
      <c r="U419" s="3"/>
      <c r="V419" s="3"/>
      <c r="W419" s="3"/>
      <c r="X419" s="3"/>
      <c r="Y419" s="3"/>
    </row>
    <row r="420" spans="1:25" ht="15.75" customHeight="1" x14ac:dyDescent="0.25">
      <c r="A420" s="9"/>
      <c r="B420" s="10"/>
      <c r="C420" s="10"/>
      <c r="D420" s="11"/>
      <c r="E420" s="29" t="s">
        <v>328</v>
      </c>
      <c r="F420" s="18"/>
      <c r="G420" s="24"/>
      <c r="H420" s="25"/>
      <c r="I420" s="64">
        <f>I19+I34+I41+I43+I59+I74+I84+I107+I114+I127+I143+I164+I174+I193+I205+I215+I221+I226+I231+I243+I292+I317+I408+I416+I418+I9+I10</f>
        <v>66047939.59271203</v>
      </c>
      <c r="J420" s="64"/>
      <c r="K420" s="64">
        <f>K19+K34+K41+K43+K59+K74+K84+K107+K114+K127+K143+K164+K174+K193+K205+K215+K221+K226+K231+K243+K292+K317+K408+K416+K418+K9+K10</f>
        <v>20345304.986256219</v>
      </c>
      <c r="L420" s="64"/>
      <c r="M420" s="64">
        <f>M19+M34+M41+M43+M59+M74+M84+M107+M114+M127+M143+M164+M174+M193+M205+M215+M221+M226+M231+M243+M292+M317+M408+M416+M418+M9+M10</f>
        <v>5709651.5</v>
      </c>
      <c r="N420" s="64"/>
      <c r="O420" s="64">
        <f>O19+O34+O41+O43+O59+O74+O84+O107+O114+O127+O143+O164+O174+O193+O205+O215+O221+O226+O231+O243+O292+O317+O408+O416+O418+O9+O10</f>
        <v>12111358.99</v>
      </c>
      <c r="P420" s="64"/>
      <c r="Q420" s="64">
        <f>Q19+Q34+Q41+Q43+Q59+Q74+Q84+Q107+Q114+Q127+Q143+Q164+Q174+Q193+Q205+Q215+Q221+Q226+Q231+Q243+Q292+Q317+Q408+Q416+Q418+Q9+Q10</f>
        <v>28301277.949999999</v>
      </c>
      <c r="R420" s="64"/>
      <c r="S420" s="3"/>
      <c r="T420" s="3"/>
      <c r="U420" s="3"/>
      <c r="V420" s="3"/>
      <c r="W420" s="3"/>
      <c r="X420" s="3"/>
      <c r="Y420" s="3"/>
    </row>
    <row r="421" spans="1:25" x14ac:dyDescent="0.25">
      <c r="I421" s="78"/>
    </row>
    <row r="422" spans="1:25" x14ac:dyDescent="0.25">
      <c r="I422" s="78"/>
    </row>
    <row r="423" spans="1:25" x14ac:dyDescent="0.25">
      <c r="I423" s="78"/>
    </row>
  </sheetData>
  <mergeCells count="21">
    <mergeCell ref="R101:R106"/>
    <mergeCell ref="J7:K7"/>
    <mergeCell ref="L7:M7"/>
    <mergeCell ref="N7:O7"/>
    <mergeCell ref="P7:Q7"/>
    <mergeCell ref="R7:R8"/>
    <mergeCell ref="M88:M89"/>
    <mergeCell ref="O1:Q1"/>
    <mergeCell ref="O2:Q2"/>
    <mergeCell ref="O3:Q3"/>
    <mergeCell ref="O4:Q4"/>
    <mergeCell ref="I101:I106"/>
    <mergeCell ref="Q101:Q106"/>
    <mergeCell ref="I88:I89"/>
    <mergeCell ref="Q88:Q89"/>
    <mergeCell ref="F7:I7"/>
    <mergeCell ref="E7:E8"/>
    <mergeCell ref="A7:A8"/>
    <mergeCell ref="B7:B8"/>
    <mergeCell ref="C7:C8"/>
    <mergeCell ref="D7:D8"/>
  </mergeCells>
  <phoneticPr fontId="17" type="noConversion"/>
  <pageMargins left="0.39370078740157483" right="0.19685039370078741" top="0.39370078740157483" bottom="0.39370078740157483" header="0.51181102362204722" footer="0.51181102362204722"/>
  <pageSetup paperSize="9" scale="6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V662"/>
  <sheetViews>
    <sheetView topLeftCell="A10" workbookViewId="0">
      <pane xSplit="4" ySplit="15" topLeftCell="E25" activePane="bottomRight" state="frozen"/>
      <selection activeCell="K147" sqref="K147"/>
      <selection pane="topRight" activeCell="K147" sqref="K147"/>
      <selection pane="bottomLeft" activeCell="K147" sqref="K147"/>
      <selection pane="bottomRight" activeCell="K147" sqref="K147"/>
    </sheetView>
  </sheetViews>
  <sheetFormatPr defaultRowHeight="15" x14ac:dyDescent="0.25"/>
  <cols>
    <col min="1" max="1" width="7.140625" style="3" customWidth="1"/>
    <col min="2" max="2" width="12.140625" style="116" customWidth="1"/>
    <col min="3" max="3" width="13.140625" style="117" customWidth="1"/>
    <col min="4" max="4" width="46.28515625" style="1" customWidth="1"/>
    <col min="5" max="5" width="11.42578125" style="1" customWidth="1"/>
    <col min="6" max="6" width="13.5703125" style="2" customWidth="1"/>
    <col min="7" max="7" width="9.5703125" style="1" customWidth="1"/>
    <col min="8" max="8" width="14" style="2" customWidth="1"/>
    <col min="9" max="9" width="12.85546875" style="145" customWidth="1"/>
    <col min="10" max="10" width="13.85546875" style="1" customWidth="1"/>
    <col min="11" max="11" width="14.140625" style="1" customWidth="1"/>
    <col min="12" max="12" width="22.140625" style="1" customWidth="1"/>
    <col min="13" max="13" width="22.28515625" style="1" customWidth="1"/>
    <col min="14" max="14" width="19.42578125" style="1" customWidth="1"/>
    <col min="15" max="15" width="9.140625" style="1"/>
    <col min="16" max="16" width="13.140625" style="1" customWidth="1"/>
    <col min="17" max="17" width="12.7109375" style="1" customWidth="1"/>
    <col min="18" max="16384" width="9.140625" style="1"/>
  </cols>
  <sheetData>
    <row r="1" spans="1:161" x14ac:dyDescent="0.25">
      <c r="J1" s="375" t="s">
        <v>367</v>
      </c>
      <c r="K1" s="375"/>
      <c r="L1" s="375"/>
    </row>
    <row r="2" spans="1:161" x14ac:dyDescent="0.25">
      <c r="J2" s="375" t="s">
        <v>364</v>
      </c>
      <c r="K2" s="375"/>
      <c r="L2" s="375"/>
    </row>
    <row r="3" spans="1:161" x14ac:dyDescent="0.25">
      <c r="J3" s="375" t="s">
        <v>365</v>
      </c>
      <c r="K3" s="375"/>
      <c r="L3" s="375"/>
    </row>
    <row r="4" spans="1:161" x14ac:dyDescent="0.25">
      <c r="J4" s="375" t="s">
        <v>366</v>
      </c>
      <c r="K4" s="375"/>
      <c r="L4" s="375"/>
    </row>
    <row r="5" spans="1:161" x14ac:dyDescent="0.25">
      <c r="J5" s="86"/>
      <c r="K5" s="86"/>
      <c r="L5" s="86"/>
    </row>
    <row r="6" spans="1:161" ht="16.5" x14ac:dyDescent="0.25">
      <c r="A6" s="373" t="s">
        <v>368</v>
      </c>
      <c r="B6" s="373"/>
      <c r="C6" s="373"/>
      <c r="D6" s="373"/>
      <c r="E6" s="91"/>
      <c r="F6" s="109"/>
      <c r="G6" s="91"/>
      <c r="H6" s="109"/>
      <c r="I6" s="146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  <c r="BM6" s="91"/>
      <c r="BN6" s="91"/>
      <c r="BO6" s="91"/>
      <c r="BP6" s="91"/>
      <c r="BQ6" s="91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1"/>
      <c r="CP6" s="91"/>
      <c r="CQ6" s="91"/>
      <c r="CR6" s="91"/>
      <c r="CS6" s="91"/>
      <c r="CT6" s="91"/>
      <c r="CU6" s="91"/>
      <c r="CV6" s="91"/>
      <c r="CW6" s="91"/>
      <c r="CX6" s="91"/>
      <c r="CY6" s="91"/>
      <c r="CZ6" s="91"/>
      <c r="DA6" s="91"/>
      <c r="DB6" s="91"/>
      <c r="DC6" s="91"/>
      <c r="DD6" s="91"/>
      <c r="DE6" s="91"/>
      <c r="DF6" s="91"/>
      <c r="DG6" s="91"/>
      <c r="DH6" s="91"/>
      <c r="DI6" s="91"/>
      <c r="DJ6" s="91"/>
      <c r="DK6" s="91"/>
      <c r="DL6" s="91"/>
      <c r="DM6" s="91"/>
      <c r="DN6" s="91"/>
      <c r="DO6" s="91"/>
      <c r="DP6" s="91"/>
      <c r="DQ6" s="91"/>
      <c r="DR6" s="91"/>
      <c r="DS6" s="91"/>
      <c r="DT6" s="91"/>
      <c r="DU6" s="91"/>
      <c r="DV6" s="91"/>
      <c r="DW6" s="91"/>
      <c r="DX6" s="91"/>
      <c r="DY6" s="91"/>
      <c r="DZ6" s="91"/>
      <c r="EA6" s="91"/>
      <c r="EB6" s="91"/>
      <c r="EC6" s="91"/>
      <c r="ED6" s="91"/>
      <c r="EE6" s="91"/>
      <c r="EF6" s="91"/>
      <c r="EG6" s="91"/>
      <c r="EH6" s="91"/>
      <c r="EI6" s="91"/>
      <c r="EJ6" s="91"/>
      <c r="EK6" s="91"/>
      <c r="EL6" s="91"/>
      <c r="EM6" s="91"/>
      <c r="EN6" s="91"/>
      <c r="EO6" s="91"/>
      <c r="EP6" s="91"/>
      <c r="EQ6" s="91"/>
      <c r="ER6" s="91"/>
      <c r="ES6" s="91"/>
      <c r="ET6" s="91"/>
      <c r="EU6" s="91"/>
      <c r="EV6" s="91"/>
      <c r="EW6" s="91"/>
      <c r="EX6" s="91"/>
      <c r="EY6" s="91"/>
      <c r="EZ6" s="91"/>
      <c r="FA6" s="91"/>
      <c r="FB6" s="91"/>
      <c r="FC6" s="91"/>
      <c r="FD6" s="91"/>
      <c r="FE6" s="91"/>
    </row>
    <row r="7" spans="1:161" ht="16.5" x14ac:dyDescent="0.25">
      <c r="A7" s="373" t="s">
        <v>369</v>
      </c>
      <c r="B7" s="373"/>
      <c r="C7" s="373"/>
      <c r="D7" s="373"/>
      <c r="E7" s="91"/>
      <c r="F7" s="109"/>
      <c r="G7" s="91"/>
      <c r="H7" s="109"/>
      <c r="I7" s="146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91"/>
      <c r="BO7" s="91"/>
      <c r="BP7" s="91"/>
      <c r="BQ7" s="91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1"/>
      <c r="CP7" s="91"/>
      <c r="CQ7" s="91"/>
      <c r="CR7" s="91"/>
      <c r="CS7" s="91"/>
      <c r="CT7" s="91"/>
      <c r="CU7" s="91"/>
      <c r="CV7" s="91"/>
      <c r="CW7" s="91"/>
      <c r="CX7" s="91"/>
      <c r="CY7" s="91"/>
      <c r="CZ7" s="91"/>
      <c r="DA7" s="91"/>
      <c r="DB7" s="91"/>
      <c r="DC7" s="91"/>
      <c r="DD7" s="91"/>
      <c r="DE7" s="91"/>
      <c r="DF7" s="91"/>
      <c r="DG7" s="91"/>
      <c r="DH7" s="91"/>
      <c r="DI7" s="91"/>
      <c r="DJ7" s="91"/>
      <c r="DK7" s="91"/>
      <c r="DL7" s="91"/>
      <c r="DM7" s="91"/>
      <c r="DN7" s="91"/>
      <c r="DO7" s="91"/>
      <c r="DP7" s="91"/>
      <c r="DQ7" s="91"/>
      <c r="DR7" s="91"/>
      <c r="DS7" s="91"/>
      <c r="DT7" s="91"/>
      <c r="DU7" s="91"/>
      <c r="DV7" s="91"/>
      <c r="DW7" s="91"/>
      <c r="DX7" s="91"/>
      <c r="DY7" s="91"/>
      <c r="DZ7" s="91"/>
      <c r="EA7" s="91"/>
      <c r="EB7" s="91"/>
      <c r="EC7" s="91"/>
      <c r="ED7" s="91"/>
      <c r="EE7" s="91"/>
      <c r="EF7" s="91"/>
      <c r="EG7" s="91"/>
      <c r="EH7" s="91"/>
      <c r="EI7" s="91"/>
      <c r="EJ7" s="91"/>
      <c r="EK7" s="91"/>
      <c r="EL7" s="91"/>
      <c r="EM7" s="91"/>
      <c r="EN7" s="91"/>
      <c r="EO7" s="91"/>
      <c r="EP7" s="91"/>
      <c r="EQ7" s="91"/>
      <c r="ER7" s="91"/>
      <c r="ES7" s="91"/>
      <c r="ET7" s="91"/>
      <c r="EU7" s="91"/>
      <c r="EV7" s="91"/>
      <c r="EW7" s="91"/>
      <c r="EX7" s="91"/>
      <c r="EY7" s="91"/>
      <c r="EZ7" s="91"/>
      <c r="FA7" s="91"/>
      <c r="FB7" s="91"/>
      <c r="FC7" s="91"/>
      <c r="FD7" s="91"/>
      <c r="FE7" s="91"/>
    </row>
    <row r="8" spans="1:161" ht="15.75" x14ac:dyDescent="0.25">
      <c r="A8" s="87"/>
      <c r="B8" s="118"/>
      <c r="C8" s="119"/>
      <c r="D8" s="87"/>
      <c r="E8" s="87"/>
      <c r="F8" s="111"/>
      <c r="G8" s="87"/>
      <c r="H8" s="111"/>
      <c r="I8" s="14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8" t="s">
        <v>370</v>
      </c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3" t="s">
        <v>371</v>
      </c>
      <c r="BV8" s="93"/>
      <c r="BW8" s="93"/>
      <c r="BX8" s="93"/>
      <c r="BY8" s="93"/>
      <c r="BZ8" s="93"/>
      <c r="CA8" s="93"/>
      <c r="CB8" s="93"/>
      <c r="CC8" s="93"/>
      <c r="CD8" s="93"/>
      <c r="CE8" s="92"/>
      <c r="CF8" s="92"/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87" t="s">
        <v>372</v>
      </c>
      <c r="CR8" s="87"/>
      <c r="CS8" s="87"/>
      <c r="CT8" s="87"/>
      <c r="CU8" s="87"/>
      <c r="CV8" s="87"/>
      <c r="CW8" s="87"/>
      <c r="CX8" s="87"/>
      <c r="CY8" s="87"/>
      <c r="CZ8" s="87"/>
      <c r="DA8" s="87"/>
      <c r="DB8" s="87"/>
      <c r="DC8" s="87"/>
      <c r="DD8" s="87"/>
      <c r="DE8" s="87"/>
      <c r="DF8" s="87"/>
      <c r="DG8" s="87"/>
      <c r="DH8" s="87"/>
      <c r="DI8" s="87"/>
      <c r="DJ8" s="87"/>
      <c r="DK8" s="87"/>
      <c r="DL8" s="87"/>
      <c r="DM8" s="87"/>
      <c r="DN8" s="87"/>
      <c r="DO8" s="87"/>
      <c r="DP8" s="87"/>
      <c r="DQ8" s="87"/>
      <c r="DR8" s="87"/>
      <c r="DS8" s="87"/>
      <c r="DT8" s="87"/>
      <c r="DU8" s="87"/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</row>
    <row r="9" spans="1:161" ht="12.75" x14ac:dyDescent="0.2">
      <c r="A9" s="89"/>
      <c r="B9" s="120"/>
      <c r="C9" s="121"/>
      <c r="D9" s="89"/>
      <c r="E9" s="89"/>
      <c r="F9" s="112"/>
      <c r="G9" s="89"/>
      <c r="H9" s="112"/>
      <c r="I9" s="148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89"/>
      <c r="DG9" s="89"/>
      <c r="DH9" s="89"/>
      <c r="DI9" s="89"/>
      <c r="DJ9" s="89"/>
      <c r="DK9" s="89"/>
      <c r="DL9" s="89"/>
      <c r="DM9" s="89"/>
      <c r="DN9" s="89"/>
      <c r="DO9" s="89"/>
      <c r="DP9" s="89"/>
      <c r="DQ9" s="89"/>
      <c r="DR9" s="89"/>
      <c r="DS9" s="89"/>
      <c r="DT9" s="89"/>
      <c r="DU9" s="89"/>
      <c r="DV9" s="89"/>
      <c r="DW9" s="89"/>
      <c r="DX9" s="89"/>
      <c r="DY9" s="89"/>
      <c r="DZ9" s="89"/>
      <c r="EA9" s="89"/>
      <c r="EB9" s="89"/>
      <c r="EC9" s="89"/>
      <c r="ED9" s="89"/>
      <c r="EE9" s="89"/>
      <c r="EF9" s="89"/>
      <c r="EG9" s="89"/>
      <c r="EH9" s="89"/>
      <c r="EI9" s="89"/>
      <c r="EJ9" s="89"/>
      <c r="EK9" s="89"/>
      <c r="EL9" s="89"/>
      <c r="EM9" s="89"/>
      <c r="EN9" s="89"/>
      <c r="EO9" s="89"/>
      <c r="EP9" s="89"/>
      <c r="EQ9" s="89"/>
      <c r="ER9" s="89"/>
      <c r="ES9" s="89"/>
      <c r="ET9" s="89"/>
      <c r="EU9" s="89"/>
      <c r="EV9" s="89"/>
      <c r="EW9" s="89"/>
      <c r="EX9" s="89"/>
      <c r="EY9" s="89"/>
      <c r="EZ9" s="89"/>
      <c r="FA9" s="89"/>
      <c r="FB9" s="89"/>
      <c r="FC9" s="89"/>
      <c r="FD9" s="89"/>
      <c r="FE9" s="89"/>
    </row>
    <row r="10" spans="1:161" ht="15.75" hidden="1" x14ac:dyDescent="0.25">
      <c r="A10" s="94" t="s">
        <v>373</v>
      </c>
      <c r="B10" s="122"/>
      <c r="C10" s="123"/>
      <c r="D10" s="94"/>
      <c r="E10" s="94"/>
      <c r="F10" s="113"/>
      <c r="G10" s="94"/>
      <c r="H10" s="113"/>
      <c r="I10" s="149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5"/>
      <c r="BA10" s="90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96"/>
      <c r="BR10" s="96"/>
      <c r="BS10" s="96"/>
      <c r="BT10" s="96"/>
      <c r="BU10" s="96"/>
      <c r="BV10" s="96"/>
      <c r="BW10" s="96"/>
      <c r="BX10" s="96"/>
      <c r="BY10" s="96"/>
      <c r="BZ10" s="96"/>
      <c r="CA10" s="96"/>
      <c r="CB10" s="96"/>
      <c r="CC10" s="96"/>
      <c r="CD10" s="96"/>
      <c r="CE10" s="96"/>
      <c r="CF10" s="96"/>
      <c r="CG10" s="96"/>
      <c r="CH10" s="96"/>
      <c r="CI10" s="96"/>
      <c r="CJ10" s="96"/>
      <c r="CK10" s="96"/>
      <c r="CL10" s="96"/>
      <c r="CM10" s="96"/>
      <c r="CN10" s="96"/>
      <c r="CO10" s="96"/>
      <c r="CP10" s="96"/>
      <c r="CQ10" s="96"/>
      <c r="CR10" s="96"/>
      <c r="CS10" s="96"/>
      <c r="CT10" s="96"/>
      <c r="CU10" s="96"/>
      <c r="CV10" s="96"/>
      <c r="CW10" s="96"/>
      <c r="CX10" s="96"/>
      <c r="CY10" s="96"/>
      <c r="CZ10" s="96"/>
      <c r="DA10" s="96"/>
      <c r="DB10" s="96"/>
      <c r="DC10" s="96"/>
      <c r="DD10" s="96"/>
      <c r="DE10" s="96"/>
      <c r="DF10" s="96"/>
      <c r="DG10" s="96"/>
      <c r="DH10" s="96"/>
      <c r="DI10" s="96"/>
      <c r="DJ10" s="96"/>
      <c r="DK10" s="96"/>
      <c r="DL10" s="96"/>
      <c r="DM10" s="96"/>
      <c r="DN10" s="96"/>
      <c r="DO10" s="96"/>
      <c r="DP10" s="96"/>
      <c r="DQ10" s="96"/>
      <c r="DR10" s="96"/>
      <c r="DS10" s="96"/>
      <c r="DT10" s="96"/>
      <c r="DU10" s="96"/>
      <c r="DV10" s="96"/>
      <c r="DW10" s="96"/>
      <c r="DX10" s="96"/>
      <c r="DY10" s="96"/>
      <c r="DZ10" s="96"/>
      <c r="EA10" s="96"/>
      <c r="EB10" s="96"/>
      <c r="EC10" s="96"/>
      <c r="ED10" s="96"/>
      <c r="EE10" s="96"/>
      <c r="EF10" s="96"/>
      <c r="EG10" s="96"/>
      <c r="EH10" s="96"/>
      <c r="EI10" s="96"/>
      <c r="EJ10" s="96"/>
      <c r="EK10" s="96"/>
      <c r="EL10" s="96"/>
      <c r="EM10" s="96"/>
      <c r="EN10" s="96"/>
      <c r="EO10" s="96"/>
      <c r="EP10" s="96"/>
      <c r="EQ10" s="96"/>
      <c r="ER10" s="96"/>
      <c r="ES10" s="96"/>
      <c r="ET10" s="96"/>
      <c r="EU10" s="96"/>
      <c r="EV10" s="96"/>
      <c r="EW10" s="96"/>
      <c r="EX10" s="96"/>
      <c r="EY10" s="96"/>
      <c r="EZ10" s="96"/>
      <c r="FA10" s="96"/>
      <c r="FB10" s="96"/>
      <c r="FC10" s="96"/>
      <c r="FD10" s="97"/>
    </row>
    <row r="11" spans="1:161" ht="15.75" hidden="1" x14ac:dyDescent="0.25">
      <c r="A11" s="94" t="s">
        <v>374</v>
      </c>
      <c r="B11" s="122"/>
      <c r="C11" s="123"/>
      <c r="D11" s="94"/>
      <c r="E11" s="94"/>
      <c r="F11" s="113"/>
      <c r="G11" s="94"/>
      <c r="H11" s="113"/>
      <c r="I11" s="149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5"/>
      <c r="BA11" s="90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98"/>
      <c r="BR11" s="98"/>
      <c r="BS11" s="98"/>
      <c r="BT11" s="98"/>
      <c r="BU11" s="98"/>
      <c r="BV11" s="98"/>
      <c r="BW11" s="98"/>
      <c r="BX11" s="98"/>
      <c r="BY11" s="98"/>
      <c r="BZ11" s="98"/>
      <c r="CA11" s="98"/>
      <c r="CB11" s="98"/>
      <c r="CC11" s="98"/>
      <c r="CD11" s="98"/>
      <c r="CE11" s="98"/>
      <c r="CF11" s="98"/>
      <c r="CG11" s="98"/>
      <c r="CH11" s="98"/>
      <c r="CI11" s="98"/>
      <c r="CJ11" s="98"/>
      <c r="CK11" s="98"/>
      <c r="CL11" s="98"/>
      <c r="CM11" s="98"/>
      <c r="CN11" s="98"/>
      <c r="CO11" s="98"/>
      <c r="CP11" s="98"/>
      <c r="CQ11" s="98"/>
      <c r="CR11" s="98"/>
      <c r="CS11" s="98"/>
      <c r="CT11" s="98"/>
      <c r="CU11" s="98"/>
      <c r="CV11" s="98"/>
      <c r="CW11" s="98"/>
      <c r="CX11" s="98"/>
      <c r="CY11" s="98"/>
      <c r="CZ11" s="98"/>
      <c r="DA11" s="98"/>
      <c r="DB11" s="98"/>
      <c r="DC11" s="98"/>
      <c r="DD11" s="98"/>
      <c r="DE11" s="98"/>
      <c r="DF11" s="98"/>
      <c r="DG11" s="98"/>
      <c r="DH11" s="98"/>
      <c r="DI11" s="98"/>
      <c r="DJ11" s="98"/>
      <c r="DK11" s="98"/>
      <c r="DL11" s="98"/>
      <c r="DM11" s="98"/>
      <c r="DN11" s="98"/>
      <c r="DO11" s="98"/>
      <c r="DP11" s="98"/>
      <c r="DQ11" s="98"/>
      <c r="DR11" s="98"/>
      <c r="DS11" s="98"/>
      <c r="DT11" s="98"/>
      <c r="DU11" s="98"/>
      <c r="DV11" s="98"/>
      <c r="DW11" s="98"/>
      <c r="DX11" s="98"/>
      <c r="DY11" s="98"/>
      <c r="DZ11" s="98"/>
      <c r="EA11" s="98"/>
      <c r="EB11" s="98"/>
      <c r="EC11" s="98"/>
      <c r="ED11" s="98"/>
      <c r="EE11" s="98"/>
      <c r="EF11" s="98"/>
      <c r="EG11" s="98"/>
      <c r="EH11" s="98"/>
      <c r="EI11" s="98"/>
      <c r="EJ11" s="98"/>
      <c r="EK11" s="98"/>
      <c r="EL11" s="98"/>
      <c r="EM11" s="98"/>
      <c r="EN11" s="98"/>
      <c r="EO11" s="98"/>
      <c r="EP11" s="98"/>
      <c r="EQ11" s="98"/>
      <c r="ER11" s="98"/>
      <c r="ES11" s="98"/>
      <c r="ET11" s="98"/>
      <c r="EU11" s="98"/>
      <c r="EV11" s="98"/>
      <c r="EW11" s="98"/>
      <c r="EX11" s="98"/>
      <c r="EY11" s="98"/>
      <c r="EZ11" s="98"/>
      <c r="FA11" s="98"/>
      <c r="FB11" s="98"/>
      <c r="FC11" s="98"/>
      <c r="FD11" s="99"/>
    </row>
    <row r="12" spans="1:161" ht="15.75" hidden="1" x14ac:dyDescent="0.25">
      <c r="A12" s="94" t="s">
        <v>375</v>
      </c>
      <c r="B12" s="122"/>
      <c r="C12" s="123"/>
      <c r="D12" s="94"/>
      <c r="E12" s="94"/>
      <c r="F12" s="113"/>
      <c r="G12" s="94"/>
      <c r="H12" s="113"/>
      <c r="I12" s="149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5"/>
      <c r="BA12" s="90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98"/>
      <c r="BR12" s="98"/>
      <c r="BS12" s="98"/>
      <c r="BT12" s="98"/>
      <c r="BU12" s="98"/>
      <c r="BV12" s="98"/>
      <c r="BW12" s="98"/>
      <c r="BX12" s="98"/>
      <c r="BY12" s="98"/>
      <c r="BZ12" s="98"/>
      <c r="CA12" s="98"/>
      <c r="CB12" s="98"/>
      <c r="CC12" s="98"/>
      <c r="CD12" s="98"/>
      <c r="CE12" s="98"/>
      <c r="CF12" s="98"/>
      <c r="CG12" s="98"/>
      <c r="CH12" s="98"/>
      <c r="CI12" s="98"/>
      <c r="CJ12" s="98"/>
      <c r="CK12" s="98"/>
      <c r="CL12" s="98"/>
      <c r="CM12" s="98"/>
      <c r="CN12" s="98"/>
      <c r="CO12" s="98"/>
      <c r="CP12" s="98"/>
      <c r="CQ12" s="98"/>
      <c r="CR12" s="98"/>
      <c r="CS12" s="98"/>
      <c r="CT12" s="98"/>
      <c r="CU12" s="98"/>
      <c r="CV12" s="98"/>
      <c r="CW12" s="98"/>
      <c r="CX12" s="98"/>
      <c r="CY12" s="98"/>
      <c r="CZ12" s="98"/>
      <c r="DA12" s="98"/>
      <c r="DB12" s="98"/>
      <c r="DC12" s="98"/>
      <c r="DD12" s="98"/>
      <c r="DE12" s="98"/>
      <c r="DF12" s="98"/>
      <c r="DG12" s="98"/>
      <c r="DH12" s="98"/>
      <c r="DI12" s="98"/>
      <c r="DJ12" s="98"/>
      <c r="DK12" s="98"/>
      <c r="DL12" s="98"/>
      <c r="DM12" s="98"/>
      <c r="DN12" s="98"/>
      <c r="DO12" s="98"/>
      <c r="DP12" s="98"/>
      <c r="DQ12" s="98"/>
      <c r="DR12" s="98"/>
      <c r="DS12" s="98"/>
      <c r="DT12" s="98"/>
      <c r="DU12" s="98"/>
      <c r="DV12" s="98"/>
      <c r="DW12" s="98"/>
      <c r="DX12" s="98"/>
      <c r="DY12" s="98"/>
      <c r="DZ12" s="98"/>
      <c r="EA12" s="98"/>
      <c r="EB12" s="98"/>
      <c r="EC12" s="98"/>
      <c r="ED12" s="98"/>
      <c r="EE12" s="98"/>
      <c r="EF12" s="98"/>
      <c r="EG12" s="98"/>
      <c r="EH12" s="98"/>
      <c r="EI12" s="98"/>
      <c r="EJ12" s="98"/>
      <c r="EK12" s="98"/>
      <c r="EL12" s="98"/>
      <c r="EM12" s="98"/>
      <c r="EN12" s="98"/>
      <c r="EO12" s="98"/>
      <c r="EP12" s="98"/>
      <c r="EQ12" s="98"/>
      <c r="ER12" s="98"/>
      <c r="ES12" s="98"/>
      <c r="ET12" s="98"/>
      <c r="EU12" s="98"/>
      <c r="EV12" s="98"/>
      <c r="EW12" s="98"/>
      <c r="EX12" s="98"/>
      <c r="EY12" s="98"/>
      <c r="EZ12" s="98"/>
      <c r="FA12" s="98"/>
      <c r="FB12" s="98"/>
      <c r="FC12" s="98"/>
      <c r="FD12" s="99"/>
    </row>
    <row r="13" spans="1:161" ht="15.75" hidden="1" x14ac:dyDescent="0.25">
      <c r="A13" s="94" t="s">
        <v>376</v>
      </c>
      <c r="B13" s="122"/>
      <c r="C13" s="123"/>
      <c r="D13" s="94"/>
      <c r="E13" s="94"/>
      <c r="F13" s="113"/>
      <c r="G13" s="94"/>
      <c r="H13" s="113"/>
      <c r="I13" s="149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5"/>
      <c r="BA13" s="90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8"/>
      <c r="BY13" s="98"/>
      <c r="BZ13" s="98"/>
      <c r="CA13" s="98"/>
      <c r="CB13" s="98"/>
      <c r="CC13" s="98"/>
      <c r="CD13" s="98"/>
      <c r="CE13" s="98"/>
      <c r="CF13" s="98"/>
      <c r="CG13" s="98"/>
      <c r="CH13" s="98"/>
      <c r="CI13" s="98"/>
      <c r="CJ13" s="98"/>
      <c r="CK13" s="98"/>
      <c r="CL13" s="98"/>
      <c r="CM13" s="98"/>
      <c r="CN13" s="98"/>
      <c r="CO13" s="98"/>
      <c r="CP13" s="98"/>
      <c r="CQ13" s="98"/>
      <c r="CR13" s="98"/>
      <c r="CS13" s="98"/>
      <c r="CT13" s="98"/>
      <c r="CU13" s="98"/>
      <c r="CV13" s="98"/>
      <c r="CW13" s="98"/>
      <c r="CX13" s="98"/>
      <c r="CY13" s="98"/>
      <c r="CZ13" s="98"/>
      <c r="DA13" s="98"/>
      <c r="DB13" s="98"/>
      <c r="DC13" s="98"/>
      <c r="DD13" s="98"/>
      <c r="DE13" s="98"/>
      <c r="DF13" s="98"/>
      <c r="DG13" s="98"/>
      <c r="DH13" s="98"/>
      <c r="DI13" s="98"/>
      <c r="DJ13" s="98"/>
      <c r="DK13" s="98"/>
      <c r="DL13" s="98"/>
      <c r="DM13" s="98"/>
      <c r="DN13" s="98"/>
      <c r="DO13" s="98"/>
      <c r="DP13" s="98"/>
      <c r="DQ13" s="98"/>
      <c r="DR13" s="98"/>
      <c r="DS13" s="98"/>
      <c r="DT13" s="98"/>
      <c r="DU13" s="98"/>
      <c r="DV13" s="98"/>
      <c r="DW13" s="98"/>
      <c r="DX13" s="98"/>
      <c r="DY13" s="98"/>
      <c r="DZ13" s="98"/>
      <c r="EA13" s="98"/>
      <c r="EB13" s="98"/>
      <c r="EC13" s="98"/>
      <c r="ED13" s="98"/>
      <c r="EE13" s="98"/>
      <c r="EF13" s="98"/>
      <c r="EG13" s="98"/>
      <c r="EH13" s="98"/>
      <c r="EI13" s="98"/>
      <c r="EJ13" s="98"/>
      <c r="EK13" s="98"/>
      <c r="EL13" s="98"/>
      <c r="EM13" s="98"/>
      <c r="EN13" s="98"/>
      <c r="EO13" s="98"/>
      <c r="EP13" s="98"/>
      <c r="EQ13" s="98"/>
      <c r="ER13" s="98"/>
      <c r="ES13" s="98"/>
      <c r="ET13" s="98"/>
      <c r="EU13" s="98"/>
      <c r="EV13" s="98"/>
      <c r="EW13" s="98"/>
      <c r="EX13" s="98"/>
      <c r="EY13" s="98"/>
      <c r="EZ13" s="98"/>
      <c r="FA13" s="98"/>
      <c r="FB13" s="98"/>
      <c r="FC13" s="98"/>
      <c r="FD13" s="99"/>
    </row>
    <row r="14" spans="1:161" ht="15.75" hidden="1" x14ac:dyDescent="0.25">
      <c r="A14" s="94" t="s">
        <v>377</v>
      </c>
      <c r="B14" s="122"/>
      <c r="C14" s="123"/>
      <c r="D14" s="94"/>
      <c r="E14" s="94"/>
      <c r="F14" s="113"/>
      <c r="G14" s="94"/>
      <c r="H14" s="113"/>
      <c r="I14" s="149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5"/>
      <c r="BA14" s="90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98"/>
      <c r="CS14" s="98"/>
      <c r="CT14" s="98"/>
      <c r="CU14" s="98"/>
      <c r="CV14" s="98"/>
      <c r="CW14" s="98"/>
      <c r="CX14" s="98"/>
      <c r="CY14" s="98"/>
      <c r="CZ14" s="98"/>
      <c r="DA14" s="98"/>
      <c r="DB14" s="98"/>
      <c r="DC14" s="98"/>
      <c r="DD14" s="98"/>
      <c r="DE14" s="98"/>
      <c r="DF14" s="98"/>
      <c r="DG14" s="98"/>
      <c r="DH14" s="98"/>
      <c r="DI14" s="98"/>
      <c r="DJ14" s="98"/>
      <c r="DK14" s="98"/>
      <c r="DL14" s="98"/>
      <c r="DM14" s="98"/>
      <c r="DN14" s="98"/>
      <c r="DO14" s="98"/>
      <c r="DP14" s="98"/>
      <c r="DQ14" s="98"/>
      <c r="DR14" s="98"/>
      <c r="DS14" s="98"/>
      <c r="DT14" s="98"/>
      <c r="DU14" s="98"/>
      <c r="DV14" s="98"/>
      <c r="DW14" s="98"/>
      <c r="DX14" s="98"/>
      <c r="DY14" s="98"/>
      <c r="DZ14" s="98"/>
      <c r="EA14" s="98"/>
      <c r="EB14" s="98"/>
      <c r="EC14" s="98"/>
      <c r="ED14" s="98"/>
      <c r="EE14" s="98"/>
      <c r="EF14" s="98"/>
      <c r="EG14" s="98"/>
      <c r="EH14" s="98"/>
      <c r="EI14" s="98"/>
      <c r="EJ14" s="98"/>
      <c r="EK14" s="98"/>
      <c r="EL14" s="98"/>
      <c r="EM14" s="98"/>
      <c r="EN14" s="98"/>
      <c r="EO14" s="98"/>
      <c r="EP14" s="98"/>
      <c r="EQ14" s="98"/>
      <c r="ER14" s="98"/>
      <c r="ES14" s="98"/>
      <c r="ET14" s="98"/>
      <c r="EU14" s="98"/>
      <c r="EV14" s="98"/>
      <c r="EW14" s="98"/>
      <c r="EX14" s="98"/>
      <c r="EY14" s="98"/>
      <c r="EZ14" s="98"/>
      <c r="FA14" s="98"/>
      <c r="FB14" s="98"/>
      <c r="FC14" s="98"/>
      <c r="FD14" s="99"/>
    </row>
    <row r="15" spans="1:161" ht="15.75" hidden="1" x14ac:dyDescent="0.25">
      <c r="A15" s="94" t="s">
        <v>378</v>
      </c>
      <c r="B15" s="122"/>
      <c r="C15" s="123"/>
      <c r="D15" s="94"/>
      <c r="E15" s="94"/>
      <c r="F15" s="113"/>
      <c r="G15" s="94"/>
      <c r="H15" s="113"/>
      <c r="I15" s="149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5"/>
      <c r="BA15" s="90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  <c r="BN15" s="98"/>
      <c r="BO15" s="98"/>
      <c r="BP15" s="98"/>
      <c r="BQ15" s="98"/>
      <c r="BR15" s="98"/>
      <c r="BS15" s="98"/>
      <c r="BT15" s="98"/>
      <c r="BU15" s="98"/>
      <c r="BV15" s="98"/>
      <c r="BW15" s="98"/>
      <c r="BX15" s="98"/>
      <c r="BY15" s="98"/>
      <c r="BZ15" s="98"/>
      <c r="CA15" s="98"/>
      <c r="CB15" s="98"/>
      <c r="CC15" s="98"/>
      <c r="CD15" s="98"/>
      <c r="CE15" s="98"/>
      <c r="CF15" s="98"/>
      <c r="CG15" s="98"/>
      <c r="CH15" s="98"/>
      <c r="CI15" s="98"/>
      <c r="CJ15" s="98"/>
      <c r="CK15" s="98"/>
      <c r="CL15" s="98"/>
      <c r="CM15" s="98"/>
      <c r="CN15" s="98"/>
      <c r="CO15" s="98"/>
      <c r="CP15" s="98"/>
      <c r="CQ15" s="98"/>
      <c r="CR15" s="98"/>
      <c r="CS15" s="98"/>
      <c r="CT15" s="98"/>
      <c r="CU15" s="98"/>
      <c r="CV15" s="98"/>
      <c r="CW15" s="98"/>
      <c r="CX15" s="98"/>
      <c r="CY15" s="98"/>
      <c r="CZ15" s="98"/>
      <c r="DA15" s="98"/>
      <c r="DB15" s="98"/>
      <c r="DC15" s="98"/>
      <c r="DD15" s="98"/>
      <c r="DE15" s="98"/>
      <c r="DF15" s="98"/>
      <c r="DG15" s="98"/>
      <c r="DH15" s="98"/>
      <c r="DI15" s="98"/>
      <c r="DJ15" s="98"/>
      <c r="DK15" s="98"/>
      <c r="DL15" s="98"/>
      <c r="DM15" s="98"/>
      <c r="DN15" s="98"/>
      <c r="DO15" s="98"/>
      <c r="DP15" s="98"/>
      <c r="DQ15" s="98"/>
      <c r="DR15" s="98"/>
      <c r="DS15" s="98"/>
      <c r="DT15" s="98"/>
      <c r="DU15" s="98"/>
      <c r="DV15" s="98"/>
      <c r="DW15" s="98"/>
      <c r="DX15" s="98"/>
      <c r="DY15" s="98"/>
      <c r="DZ15" s="98"/>
      <c r="EA15" s="98"/>
      <c r="EB15" s="98"/>
      <c r="EC15" s="98"/>
      <c r="ED15" s="98"/>
      <c r="EE15" s="98"/>
      <c r="EF15" s="98"/>
      <c r="EG15" s="98"/>
      <c r="EH15" s="98"/>
      <c r="EI15" s="98"/>
      <c r="EJ15" s="98"/>
      <c r="EK15" s="98"/>
      <c r="EL15" s="98"/>
      <c r="EM15" s="98"/>
      <c r="EN15" s="98"/>
      <c r="EO15" s="98"/>
      <c r="EP15" s="98"/>
      <c r="EQ15" s="98"/>
      <c r="ER15" s="98"/>
      <c r="ES15" s="98"/>
      <c r="ET15" s="98"/>
      <c r="EU15" s="98"/>
      <c r="EV15" s="98"/>
      <c r="EW15" s="98"/>
      <c r="EX15" s="98"/>
      <c r="EY15" s="98"/>
      <c r="EZ15" s="98"/>
      <c r="FA15" s="98"/>
      <c r="FB15" s="98"/>
      <c r="FC15" s="98"/>
      <c r="FD15" s="99"/>
    </row>
    <row r="16" spans="1:161" ht="15.75" hidden="1" x14ac:dyDescent="0.25">
      <c r="A16" s="94" t="s">
        <v>379</v>
      </c>
      <c r="B16" s="122"/>
      <c r="C16" s="123"/>
      <c r="D16" s="94"/>
      <c r="E16" s="94"/>
      <c r="F16" s="113"/>
      <c r="G16" s="94"/>
      <c r="H16" s="113"/>
      <c r="I16" s="149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5"/>
      <c r="BA16" s="90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8"/>
      <c r="CB16" s="98"/>
      <c r="CC16" s="98"/>
      <c r="CD16" s="98"/>
      <c r="CE16" s="98"/>
      <c r="CF16" s="98"/>
      <c r="CG16" s="98"/>
      <c r="CH16" s="98"/>
      <c r="CI16" s="98"/>
      <c r="CJ16" s="98"/>
      <c r="CK16" s="98"/>
      <c r="CL16" s="98"/>
      <c r="CM16" s="98"/>
      <c r="CN16" s="98"/>
      <c r="CO16" s="98"/>
      <c r="CP16" s="98"/>
      <c r="CQ16" s="98"/>
      <c r="CR16" s="98"/>
      <c r="CS16" s="98"/>
      <c r="CT16" s="98"/>
      <c r="CU16" s="98"/>
      <c r="CV16" s="98"/>
      <c r="CW16" s="98"/>
      <c r="CX16" s="98"/>
      <c r="CY16" s="98"/>
      <c r="CZ16" s="98"/>
      <c r="DA16" s="98"/>
      <c r="DB16" s="98"/>
      <c r="DC16" s="98"/>
      <c r="DD16" s="98"/>
      <c r="DE16" s="98"/>
      <c r="DF16" s="98"/>
      <c r="DG16" s="98"/>
      <c r="DH16" s="98"/>
      <c r="DI16" s="98"/>
      <c r="DJ16" s="98"/>
      <c r="DK16" s="98"/>
      <c r="DL16" s="98"/>
      <c r="DM16" s="98"/>
      <c r="DN16" s="98"/>
      <c r="DO16" s="98"/>
      <c r="DP16" s="98"/>
      <c r="DQ16" s="98"/>
      <c r="DR16" s="98"/>
      <c r="DS16" s="98"/>
      <c r="DT16" s="98"/>
      <c r="DU16" s="98"/>
      <c r="DV16" s="98"/>
      <c r="DW16" s="98"/>
      <c r="DX16" s="98"/>
      <c r="DY16" s="98"/>
      <c r="DZ16" s="98"/>
      <c r="EA16" s="98"/>
      <c r="EB16" s="98"/>
      <c r="EC16" s="98"/>
      <c r="ED16" s="98"/>
      <c r="EE16" s="98"/>
      <c r="EF16" s="98"/>
      <c r="EG16" s="98"/>
      <c r="EH16" s="98"/>
      <c r="EI16" s="98"/>
      <c r="EJ16" s="98"/>
      <c r="EK16" s="98"/>
      <c r="EL16" s="98"/>
      <c r="EM16" s="98"/>
      <c r="EN16" s="98"/>
      <c r="EO16" s="98"/>
      <c r="EP16" s="98"/>
      <c r="EQ16" s="98"/>
      <c r="ER16" s="98"/>
      <c r="ES16" s="98"/>
      <c r="ET16" s="98"/>
      <c r="EU16" s="98"/>
      <c r="EV16" s="98"/>
      <c r="EW16" s="98"/>
      <c r="EX16" s="98"/>
      <c r="EY16" s="98"/>
      <c r="EZ16" s="98"/>
      <c r="FA16" s="98"/>
      <c r="FB16" s="98"/>
      <c r="FC16" s="98"/>
      <c r="FD16" s="99"/>
    </row>
    <row r="17" spans="1:256" hidden="1" x14ac:dyDescent="0.25">
      <c r="J17" s="86"/>
      <c r="K17" s="86"/>
      <c r="L17" s="86"/>
    </row>
    <row r="18" spans="1:256" hidden="1" x14ac:dyDescent="0.25">
      <c r="J18" s="86"/>
      <c r="K18" s="86"/>
      <c r="L18" s="86"/>
    </row>
    <row r="19" spans="1:256" s="141" customFormat="1" ht="12.75" x14ac:dyDescent="0.2">
      <c r="A19" s="383" t="s">
        <v>380</v>
      </c>
      <c r="B19" s="383" t="s">
        <v>381</v>
      </c>
      <c r="C19" s="383" t="s">
        <v>382</v>
      </c>
      <c r="D19" s="386" t="s">
        <v>383</v>
      </c>
      <c r="E19" s="387"/>
      <c r="F19" s="387"/>
      <c r="G19" s="387"/>
      <c r="H19" s="387"/>
      <c r="I19" s="387"/>
      <c r="J19" s="387"/>
      <c r="K19" s="387"/>
      <c r="L19" s="387"/>
      <c r="M19" s="387"/>
      <c r="N19" s="388" t="s">
        <v>384</v>
      </c>
      <c r="O19" s="388" t="s">
        <v>385</v>
      </c>
    </row>
    <row r="20" spans="1:256" s="141" customFormat="1" ht="12.75" x14ac:dyDescent="0.2">
      <c r="A20" s="401"/>
      <c r="B20" s="384"/>
      <c r="C20" s="384"/>
      <c r="D20" s="388" t="s">
        <v>386</v>
      </c>
      <c r="E20" s="388" t="s">
        <v>387</v>
      </c>
      <c r="F20" s="386" t="s">
        <v>12</v>
      </c>
      <c r="G20" s="387"/>
      <c r="H20" s="388" t="s">
        <v>388</v>
      </c>
      <c r="I20" s="386" t="s">
        <v>389</v>
      </c>
      <c r="J20" s="387"/>
      <c r="K20" s="388" t="s">
        <v>390</v>
      </c>
      <c r="L20" s="386" t="s">
        <v>391</v>
      </c>
      <c r="M20" s="387"/>
      <c r="N20" s="389"/>
      <c r="O20" s="390"/>
    </row>
    <row r="21" spans="1:256" s="141" customFormat="1" ht="60" x14ac:dyDescent="0.2">
      <c r="A21" s="402"/>
      <c r="B21" s="385"/>
      <c r="C21" s="385"/>
      <c r="D21" s="390"/>
      <c r="E21" s="390"/>
      <c r="F21" s="101" t="s">
        <v>392</v>
      </c>
      <c r="G21" s="101" t="s">
        <v>393</v>
      </c>
      <c r="H21" s="390"/>
      <c r="I21" s="142" t="s">
        <v>394</v>
      </c>
      <c r="J21" s="101" t="s">
        <v>393</v>
      </c>
      <c r="K21" s="390"/>
      <c r="L21" s="101" t="s">
        <v>395</v>
      </c>
      <c r="M21" s="101" t="s">
        <v>396</v>
      </c>
      <c r="N21" s="390"/>
      <c r="O21" s="101" t="s">
        <v>397</v>
      </c>
    </row>
    <row r="22" spans="1:256" ht="13.5" thickBot="1" x14ac:dyDescent="0.25">
      <c r="A22" s="100" t="s">
        <v>398</v>
      </c>
      <c r="B22" s="124" t="s">
        <v>399</v>
      </c>
      <c r="C22" s="124" t="s">
        <v>400</v>
      </c>
      <c r="D22" s="102">
        <v>4</v>
      </c>
      <c r="E22" s="102">
        <v>5</v>
      </c>
      <c r="F22" s="102">
        <v>6</v>
      </c>
      <c r="G22" s="102">
        <v>7</v>
      </c>
      <c r="H22" s="102">
        <v>8</v>
      </c>
      <c r="I22" s="143">
        <v>9</v>
      </c>
      <c r="J22" s="102">
        <v>10</v>
      </c>
      <c r="K22" s="102">
        <v>11</v>
      </c>
      <c r="L22" s="102">
        <v>12</v>
      </c>
      <c r="M22" s="102">
        <v>13</v>
      </c>
      <c r="N22" s="103">
        <v>14</v>
      </c>
      <c r="O22" s="102">
        <v>15</v>
      </c>
    </row>
    <row r="23" spans="1:256" s="7" customFormat="1" ht="28.5" x14ac:dyDescent="0.2">
      <c r="A23" s="399" t="s">
        <v>4</v>
      </c>
      <c r="B23" s="125"/>
      <c r="C23" s="126"/>
      <c r="D23" s="397" t="s">
        <v>5</v>
      </c>
      <c r="E23" s="106"/>
      <c r="F23" s="106"/>
      <c r="H23" s="128" t="s">
        <v>6</v>
      </c>
      <c r="I23" s="150"/>
      <c r="J23" s="104"/>
      <c r="K23" s="105"/>
      <c r="L23" s="132"/>
      <c r="M23" s="132"/>
      <c r="N23" s="132"/>
      <c r="O23" s="132"/>
      <c r="P23" s="107" t="s">
        <v>7</v>
      </c>
      <c r="Q23" s="108"/>
      <c r="R23" s="391" t="s">
        <v>8</v>
      </c>
      <c r="S23" s="392"/>
      <c r="T23" s="391" t="s">
        <v>9</v>
      </c>
      <c r="U23" s="392"/>
      <c r="V23" s="393" t="s">
        <v>10</v>
      </c>
      <c r="W23" s="394"/>
      <c r="X23" s="395" t="s">
        <v>11</v>
      </c>
      <c r="Y23" s="6"/>
      <c r="Z23" s="6"/>
      <c r="AA23" s="6"/>
      <c r="AB23" s="6"/>
      <c r="AC23" s="6"/>
      <c r="AD23" s="6"/>
      <c r="AE23" s="6"/>
    </row>
    <row r="24" spans="1:256" s="7" customFormat="1" ht="114" x14ac:dyDescent="0.2">
      <c r="A24" s="400"/>
      <c r="B24" s="125"/>
      <c r="C24" s="126"/>
      <c r="D24" s="398"/>
      <c r="E24" s="8"/>
      <c r="F24" s="8"/>
      <c r="G24" s="8" t="s">
        <v>12</v>
      </c>
      <c r="H24" s="8" t="s">
        <v>13</v>
      </c>
      <c r="I24" s="144"/>
      <c r="J24" s="8"/>
      <c r="K24" s="8" t="s">
        <v>14</v>
      </c>
      <c r="L24" s="8"/>
      <c r="M24" s="8"/>
      <c r="N24" s="8"/>
      <c r="O24" s="8"/>
      <c r="P24" s="8" t="s">
        <v>13</v>
      </c>
      <c r="Q24" s="8" t="s">
        <v>14</v>
      </c>
      <c r="R24" s="8" t="s">
        <v>13</v>
      </c>
      <c r="S24" s="8" t="s">
        <v>15</v>
      </c>
      <c r="T24" s="8" t="s">
        <v>13</v>
      </c>
      <c r="U24" s="8" t="s">
        <v>15</v>
      </c>
      <c r="V24" s="8" t="s">
        <v>13</v>
      </c>
      <c r="W24" s="8" t="s">
        <v>15</v>
      </c>
      <c r="X24" s="396"/>
      <c r="Y24" s="6"/>
      <c r="Z24" s="6"/>
      <c r="AA24" s="6"/>
      <c r="AB24" s="6"/>
      <c r="AC24" s="6"/>
      <c r="AD24" s="6"/>
      <c r="AE24" s="6"/>
    </row>
    <row r="25" spans="1:256" s="164" customFormat="1" ht="28.5" x14ac:dyDescent="0.2">
      <c r="A25" s="140" t="s">
        <v>398</v>
      </c>
      <c r="B25" s="156"/>
      <c r="C25" s="157"/>
      <c r="D25" s="158" t="s">
        <v>451</v>
      </c>
      <c r="E25" s="158"/>
      <c r="F25" s="159"/>
      <c r="G25" s="160"/>
      <c r="H25" s="160"/>
      <c r="I25" s="161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3"/>
      <c r="Y25" s="140"/>
      <c r="Z25" s="156"/>
      <c r="AA25" s="157"/>
      <c r="AB25" s="158"/>
      <c r="AC25" s="158"/>
      <c r="AD25" s="159"/>
      <c r="AE25" s="160"/>
      <c r="AF25" s="160"/>
      <c r="AG25" s="162"/>
      <c r="AH25" s="162"/>
      <c r="AI25" s="162"/>
      <c r="AJ25" s="162"/>
      <c r="AK25" s="162"/>
      <c r="AL25" s="162"/>
      <c r="AM25" s="162"/>
      <c r="AN25" s="162"/>
      <c r="AO25" s="162"/>
      <c r="AP25" s="162"/>
      <c r="AQ25" s="162"/>
      <c r="AR25" s="162"/>
      <c r="AS25" s="162"/>
      <c r="AT25" s="162"/>
      <c r="AU25" s="162"/>
      <c r="AV25" s="163"/>
      <c r="AW25" s="140"/>
      <c r="AX25" s="156"/>
      <c r="AY25" s="157"/>
      <c r="AZ25" s="158"/>
      <c r="BA25" s="158"/>
      <c r="BB25" s="159"/>
      <c r="BC25" s="160"/>
      <c r="BD25" s="160"/>
      <c r="BE25" s="162"/>
      <c r="BF25" s="162"/>
      <c r="BG25" s="162"/>
      <c r="BH25" s="162"/>
      <c r="BI25" s="162"/>
      <c r="BJ25" s="162"/>
      <c r="BK25" s="162"/>
      <c r="BL25" s="162"/>
      <c r="BM25" s="162"/>
      <c r="BN25" s="162"/>
      <c r="BO25" s="162"/>
      <c r="BP25" s="162"/>
      <c r="BQ25" s="162"/>
      <c r="BR25" s="162"/>
      <c r="BS25" s="162"/>
      <c r="BT25" s="163"/>
      <c r="BU25" s="140"/>
      <c r="BV25" s="156"/>
      <c r="BW25" s="157"/>
      <c r="BX25" s="158"/>
      <c r="BY25" s="158"/>
      <c r="BZ25" s="159"/>
      <c r="CA25" s="160"/>
      <c r="CB25" s="160"/>
      <c r="CC25" s="162"/>
      <c r="CD25" s="162"/>
      <c r="CE25" s="162"/>
      <c r="CF25" s="162"/>
      <c r="CG25" s="162"/>
      <c r="CH25" s="162"/>
      <c r="CI25" s="162"/>
      <c r="CJ25" s="162"/>
      <c r="CK25" s="162"/>
      <c r="CL25" s="162"/>
      <c r="CM25" s="162"/>
      <c r="CN25" s="162"/>
      <c r="CO25" s="162"/>
      <c r="CP25" s="162"/>
      <c r="CQ25" s="162"/>
      <c r="CR25" s="163"/>
      <c r="CS25" s="140"/>
      <c r="CT25" s="156"/>
      <c r="CU25" s="157"/>
      <c r="CV25" s="158"/>
      <c r="CW25" s="158"/>
      <c r="CX25" s="159"/>
      <c r="CY25" s="160"/>
      <c r="CZ25" s="160"/>
      <c r="DA25" s="162"/>
      <c r="DB25" s="162"/>
      <c r="DC25" s="162"/>
      <c r="DD25" s="162"/>
      <c r="DE25" s="162"/>
      <c r="DF25" s="162"/>
      <c r="DG25" s="162"/>
      <c r="DH25" s="162"/>
      <c r="DI25" s="162"/>
      <c r="DJ25" s="162"/>
      <c r="DK25" s="162"/>
      <c r="DL25" s="162"/>
      <c r="DM25" s="162"/>
      <c r="DN25" s="162"/>
      <c r="DO25" s="162"/>
      <c r="DP25" s="163"/>
      <c r="DQ25" s="140"/>
      <c r="DR25" s="156"/>
      <c r="DS25" s="157"/>
      <c r="DT25" s="158"/>
      <c r="DU25" s="158"/>
      <c r="DV25" s="159"/>
      <c r="DW25" s="160"/>
      <c r="DX25" s="160"/>
      <c r="DY25" s="162"/>
      <c r="DZ25" s="162"/>
      <c r="EA25" s="162"/>
      <c r="EB25" s="162"/>
      <c r="EC25" s="162"/>
      <c r="ED25" s="162"/>
      <c r="EE25" s="162"/>
      <c r="EF25" s="162"/>
      <c r="EG25" s="162"/>
      <c r="EH25" s="162"/>
      <c r="EI25" s="162"/>
      <c r="EJ25" s="162"/>
      <c r="EK25" s="162"/>
      <c r="EL25" s="162"/>
      <c r="EM25" s="162"/>
      <c r="EN25" s="163"/>
      <c r="EO25" s="140"/>
      <c r="EP25" s="156"/>
      <c r="EQ25" s="157"/>
      <c r="ER25" s="158"/>
      <c r="ES25" s="158"/>
      <c r="ET25" s="159"/>
      <c r="EU25" s="160"/>
      <c r="EV25" s="160"/>
      <c r="EW25" s="162"/>
      <c r="EX25" s="162"/>
      <c r="EY25" s="162"/>
      <c r="EZ25" s="162"/>
      <c r="FA25" s="162"/>
      <c r="FB25" s="162"/>
      <c r="FC25" s="162"/>
      <c r="FD25" s="162"/>
      <c r="FE25" s="162"/>
      <c r="FF25" s="162"/>
      <c r="FG25" s="162"/>
      <c r="FH25" s="162"/>
      <c r="FI25" s="162"/>
      <c r="FJ25" s="162"/>
      <c r="FK25" s="162"/>
      <c r="FL25" s="163"/>
      <c r="FM25" s="140"/>
      <c r="FN25" s="156"/>
      <c r="FO25" s="157"/>
      <c r="FP25" s="158"/>
      <c r="FQ25" s="158"/>
      <c r="FR25" s="159"/>
      <c r="FS25" s="160"/>
      <c r="FT25" s="160"/>
      <c r="FU25" s="162"/>
      <c r="FV25" s="162"/>
      <c r="FW25" s="162"/>
      <c r="FX25" s="162"/>
      <c r="FY25" s="162"/>
      <c r="FZ25" s="162"/>
      <c r="GA25" s="162"/>
      <c r="GB25" s="162"/>
      <c r="GC25" s="162"/>
      <c r="GD25" s="162"/>
      <c r="GE25" s="162"/>
      <c r="GF25" s="162"/>
      <c r="GG25" s="162"/>
      <c r="GH25" s="162"/>
      <c r="GI25" s="162"/>
      <c r="GJ25" s="163"/>
      <c r="GK25" s="140"/>
      <c r="GL25" s="156"/>
      <c r="GM25" s="157"/>
      <c r="GN25" s="158"/>
      <c r="GO25" s="158"/>
      <c r="GP25" s="159"/>
      <c r="GQ25" s="160"/>
      <c r="GR25" s="160"/>
      <c r="GS25" s="162"/>
      <c r="GT25" s="162"/>
      <c r="GU25" s="162"/>
      <c r="GV25" s="162"/>
      <c r="GW25" s="162"/>
      <c r="GX25" s="162"/>
      <c r="GY25" s="162"/>
      <c r="GZ25" s="162"/>
      <c r="HA25" s="162"/>
      <c r="HB25" s="162"/>
      <c r="HC25" s="162"/>
      <c r="HD25" s="162"/>
      <c r="HE25" s="162"/>
      <c r="HF25" s="162"/>
      <c r="HG25" s="162"/>
      <c r="HH25" s="163"/>
      <c r="HI25" s="140"/>
      <c r="HJ25" s="156"/>
      <c r="HK25" s="157"/>
      <c r="HL25" s="158"/>
      <c r="HM25" s="158"/>
      <c r="HN25" s="159"/>
      <c r="HO25" s="160"/>
      <c r="HP25" s="160"/>
      <c r="HQ25" s="162"/>
      <c r="HR25" s="162"/>
      <c r="HS25" s="162"/>
      <c r="HT25" s="162"/>
      <c r="HU25" s="162"/>
      <c r="HV25" s="162"/>
      <c r="HW25" s="162"/>
      <c r="HX25" s="162"/>
      <c r="HY25" s="162"/>
      <c r="HZ25" s="162"/>
      <c r="IA25" s="162"/>
      <c r="IB25" s="162"/>
      <c r="IC25" s="162"/>
      <c r="ID25" s="162"/>
      <c r="IE25" s="162"/>
      <c r="IF25" s="163"/>
      <c r="IG25" s="140"/>
      <c r="IH25" s="156"/>
      <c r="II25" s="157"/>
      <c r="IJ25" s="158"/>
      <c r="IK25" s="158"/>
      <c r="IL25" s="159"/>
      <c r="IM25" s="160"/>
      <c r="IN25" s="160"/>
      <c r="IO25" s="162"/>
      <c r="IP25" s="162"/>
      <c r="IQ25" s="162"/>
      <c r="IR25" s="162"/>
      <c r="IS25" s="162"/>
      <c r="IT25" s="162"/>
      <c r="IU25" s="162"/>
      <c r="IV25" s="162"/>
    </row>
    <row r="26" spans="1:256" s="141" customFormat="1" ht="45" x14ac:dyDescent="0.25">
      <c r="A26" s="138" t="s">
        <v>453</v>
      </c>
      <c r="B26" s="165" t="s">
        <v>401</v>
      </c>
      <c r="C26" s="110">
        <v>6210010</v>
      </c>
      <c r="D26" s="80" t="s">
        <v>16</v>
      </c>
      <c r="E26" s="80"/>
      <c r="F26" s="11">
        <v>421</v>
      </c>
      <c r="G26" s="81" t="s">
        <v>458</v>
      </c>
      <c r="H26" s="24">
        <v>94</v>
      </c>
      <c r="I26" s="151">
        <v>98401</v>
      </c>
      <c r="J26" s="83" t="s">
        <v>429</v>
      </c>
      <c r="K26" s="83">
        <v>1206590</v>
      </c>
      <c r="L26" s="166" t="s">
        <v>7</v>
      </c>
      <c r="M26" s="166">
        <v>41244</v>
      </c>
      <c r="N26" s="83"/>
      <c r="O26" s="83"/>
      <c r="P26" s="83">
        <v>94</v>
      </c>
      <c r="Q26" s="83">
        <v>1206590</v>
      </c>
      <c r="R26" s="83"/>
      <c r="S26" s="83"/>
      <c r="T26" s="83"/>
      <c r="U26" s="83"/>
      <c r="V26" s="83"/>
      <c r="W26" s="83"/>
      <c r="X26" s="167"/>
      <c r="Y26" s="168"/>
      <c r="Z26" s="168"/>
      <c r="AA26" s="168"/>
      <c r="AB26" s="168"/>
      <c r="AC26" s="168"/>
      <c r="AD26" s="168"/>
      <c r="AE26" s="168"/>
    </row>
    <row r="27" spans="1:256" s="141" customFormat="1" ht="45" x14ac:dyDescent="0.25">
      <c r="A27" s="138" t="s">
        <v>452</v>
      </c>
      <c r="B27" s="165" t="s">
        <v>401</v>
      </c>
      <c r="C27" s="110">
        <v>6210010</v>
      </c>
      <c r="D27" s="80" t="s">
        <v>19</v>
      </c>
      <c r="E27" s="80"/>
      <c r="F27" s="11">
        <v>421</v>
      </c>
      <c r="G27" s="81" t="s">
        <v>458</v>
      </c>
      <c r="H27" s="81">
        <v>145</v>
      </c>
      <c r="I27" s="151">
        <v>98401</v>
      </c>
      <c r="J27" s="83" t="s">
        <v>429</v>
      </c>
      <c r="K27" s="83">
        <v>2360180</v>
      </c>
      <c r="L27" s="166" t="s">
        <v>7</v>
      </c>
      <c r="M27" s="166">
        <v>41244</v>
      </c>
      <c r="N27" s="83"/>
      <c r="O27" s="83"/>
      <c r="P27" s="83">
        <v>145</v>
      </c>
      <c r="Q27" s="83">
        <v>2360180</v>
      </c>
      <c r="R27" s="83"/>
      <c r="S27" s="83"/>
      <c r="T27" s="83"/>
      <c r="U27" s="83"/>
      <c r="V27" s="83"/>
      <c r="W27" s="83"/>
      <c r="X27" s="167"/>
      <c r="Y27" s="168"/>
      <c r="Z27" s="168"/>
      <c r="AA27" s="168"/>
      <c r="AB27" s="168"/>
      <c r="AC27" s="168"/>
      <c r="AD27" s="168"/>
      <c r="AE27" s="168"/>
    </row>
    <row r="28" spans="1:256" s="164" customFormat="1" ht="28.5" x14ac:dyDescent="0.2">
      <c r="A28" s="140" t="s">
        <v>399</v>
      </c>
      <c r="B28" s="156"/>
      <c r="C28" s="157"/>
      <c r="D28" s="158" t="s">
        <v>20</v>
      </c>
      <c r="E28" s="158"/>
      <c r="F28" s="159"/>
      <c r="G28" s="160"/>
      <c r="H28" s="160"/>
      <c r="I28" s="161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3"/>
      <c r="Y28" s="140"/>
      <c r="Z28" s="156"/>
      <c r="AA28" s="157"/>
      <c r="AB28" s="158"/>
      <c r="AC28" s="158"/>
      <c r="AD28" s="159"/>
      <c r="AE28" s="160"/>
      <c r="AF28" s="160"/>
      <c r="AG28" s="162"/>
      <c r="AH28" s="162"/>
      <c r="AI28" s="162"/>
      <c r="AJ28" s="162"/>
      <c r="AK28" s="162"/>
      <c r="AL28" s="162"/>
      <c r="AM28" s="162"/>
      <c r="AN28" s="162"/>
      <c r="AO28" s="162"/>
      <c r="AP28" s="162"/>
      <c r="AQ28" s="162"/>
      <c r="AR28" s="162"/>
      <c r="AS28" s="162"/>
      <c r="AT28" s="162"/>
      <c r="AU28" s="162"/>
      <c r="AV28" s="163"/>
      <c r="AW28" s="140"/>
      <c r="AX28" s="156"/>
      <c r="AY28" s="157"/>
      <c r="AZ28" s="158"/>
      <c r="BA28" s="158"/>
      <c r="BB28" s="159"/>
      <c r="BC28" s="160"/>
      <c r="BD28" s="160"/>
      <c r="BE28" s="162"/>
      <c r="BF28" s="162"/>
      <c r="BG28" s="162"/>
      <c r="BH28" s="162"/>
      <c r="BI28" s="162"/>
      <c r="BJ28" s="162"/>
      <c r="BK28" s="162"/>
      <c r="BL28" s="162"/>
      <c r="BM28" s="162"/>
      <c r="BN28" s="162"/>
      <c r="BO28" s="162"/>
      <c r="BP28" s="162"/>
      <c r="BQ28" s="162"/>
      <c r="BR28" s="162"/>
      <c r="BS28" s="162"/>
      <c r="BT28" s="163"/>
      <c r="BU28" s="140"/>
      <c r="BV28" s="156"/>
      <c r="BW28" s="157"/>
      <c r="BX28" s="158"/>
      <c r="BY28" s="158"/>
      <c r="BZ28" s="159"/>
      <c r="CA28" s="160"/>
      <c r="CB28" s="160"/>
      <c r="CC28" s="162"/>
      <c r="CD28" s="162"/>
      <c r="CE28" s="162"/>
      <c r="CF28" s="162"/>
      <c r="CG28" s="162"/>
      <c r="CH28" s="162"/>
      <c r="CI28" s="162"/>
      <c r="CJ28" s="162"/>
      <c r="CK28" s="162"/>
      <c r="CL28" s="162"/>
      <c r="CM28" s="162"/>
      <c r="CN28" s="162"/>
      <c r="CO28" s="162"/>
      <c r="CP28" s="162"/>
      <c r="CQ28" s="162"/>
      <c r="CR28" s="163"/>
      <c r="CS28" s="140"/>
      <c r="CT28" s="156"/>
      <c r="CU28" s="157"/>
      <c r="CV28" s="158"/>
      <c r="CW28" s="158"/>
      <c r="CX28" s="159"/>
      <c r="CY28" s="160"/>
      <c r="CZ28" s="160"/>
      <c r="DA28" s="162"/>
      <c r="DB28" s="162"/>
      <c r="DC28" s="162"/>
      <c r="DD28" s="162"/>
      <c r="DE28" s="162"/>
      <c r="DF28" s="162"/>
      <c r="DG28" s="162"/>
      <c r="DH28" s="162"/>
      <c r="DI28" s="162"/>
      <c r="DJ28" s="162"/>
      <c r="DK28" s="162"/>
      <c r="DL28" s="162"/>
      <c r="DM28" s="162"/>
      <c r="DN28" s="162"/>
      <c r="DO28" s="162"/>
      <c r="DP28" s="163"/>
      <c r="DQ28" s="140"/>
      <c r="DR28" s="156"/>
      <c r="DS28" s="157"/>
      <c r="DT28" s="158"/>
      <c r="DU28" s="158"/>
      <c r="DV28" s="159"/>
      <c r="DW28" s="160"/>
      <c r="DX28" s="160"/>
      <c r="DY28" s="162"/>
      <c r="DZ28" s="162"/>
      <c r="EA28" s="162"/>
      <c r="EB28" s="162"/>
      <c r="EC28" s="162"/>
      <c r="ED28" s="162"/>
      <c r="EE28" s="162"/>
      <c r="EF28" s="162"/>
      <c r="EG28" s="162"/>
      <c r="EH28" s="162"/>
      <c r="EI28" s="162"/>
      <c r="EJ28" s="162"/>
      <c r="EK28" s="162"/>
      <c r="EL28" s="162"/>
      <c r="EM28" s="162"/>
      <c r="EN28" s="163"/>
      <c r="EO28" s="140"/>
      <c r="EP28" s="156"/>
      <c r="EQ28" s="157"/>
      <c r="ER28" s="158"/>
      <c r="ES28" s="158"/>
      <c r="ET28" s="159"/>
      <c r="EU28" s="160"/>
      <c r="EV28" s="160"/>
      <c r="EW28" s="162"/>
      <c r="EX28" s="162"/>
      <c r="EY28" s="162"/>
      <c r="EZ28" s="162"/>
      <c r="FA28" s="162"/>
      <c r="FB28" s="162"/>
      <c r="FC28" s="162"/>
      <c r="FD28" s="162"/>
      <c r="FE28" s="162"/>
      <c r="FF28" s="162"/>
      <c r="FG28" s="162"/>
      <c r="FH28" s="162"/>
      <c r="FI28" s="162"/>
      <c r="FJ28" s="162"/>
      <c r="FK28" s="162"/>
      <c r="FL28" s="163"/>
      <c r="FM28" s="140"/>
      <c r="FN28" s="156"/>
      <c r="FO28" s="157"/>
      <c r="FP28" s="158"/>
      <c r="FQ28" s="158"/>
      <c r="FR28" s="159"/>
      <c r="FS28" s="160"/>
      <c r="FT28" s="160"/>
      <c r="FU28" s="162"/>
      <c r="FV28" s="162"/>
      <c r="FW28" s="162"/>
      <c r="FX28" s="162"/>
      <c r="FY28" s="162"/>
      <c r="FZ28" s="162"/>
      <c r="GA28" s="162"/>
      <c r="GB28" s="162"/>
      <c r="GC28" s="162"/>
      <c r="GD28" s="162"/>
      <c r="GE28" s="162"/>
      <c r="GF28" s="162"/>
      <c r="GG28" s="162"/>
      <c r="GH28" s="162"/>
      <c r="GI28" s="162"/>
      <c r="GJ28" s="163"/>
      <c r="GK28" s="140"/>
      <c r="GL28" s="156"/>
      <c r="GM28" s="157"/>
      <c r="GN28" s="158"/>
      <c r="GO28" s="158"/>
      <c r="GP28" s="159"/>
      <c r="GQ28" s="160"/>
      <c r="GR28" s="160"/>
      <c r="GS28" s="162"/>
      <c r="GT28" s="162"/>
      <c r="GU28" s="162"/>
      <c r="GV28" s="162"/>
      <c r="GW28" s="162"/>
      <c r="GX28" s="162"/>
      <c r="GY28" s="162"/>
      <c r="GZ28" s="162"/>
      <c r="HA28" s="162"/>
      <c r="HB28" s="162"/>
      <c r="HC28" s="162"/>
      <c r="HD28" s="162"/>
      <c r="HE28" s="162"/>
      <c r="HF28" s="162"/>
      <c r="HG28" s="162"/>
      <c r="HH28" s="163"/>
      <c r="HI28" s="140"/>
      <c r="HJ28" s="156"/>
      <c r="HK28" s="157"/>
      <c r="HL28" s="158"/>
      <c r="HM28" s="158"/>
      <c r="HN28" s="159"/>
      <c r="HO28" s="160"/>
      <c r="HP28" s="160"/>
      <c r="HQ28" s="162"/>
      <c r="HR28" s="162"/>
      <c r="HS28" s="162"/>
      <c r="HT28" s="162"/>
      <c r="HU28" s="162"/>
      <c r="HV28" s="162"/>
      <c r="HW28" s="162"/>
      <c r="HX28" s="162"/>
      <c r="HY28" s="162"/>
      <c r="HZ28" s="162"/>
      <c r="IA28" s="162"/>
      <c r="IB28" s="162"/>
      <c r="IC28" s="162"/>
      <c r="ID28" s="162"/>
      <c r="IE28" s="162"/>
      <c r="IF28" s="163"/>
      <c r="IG28" s="140"/>
      <c r="IH28" s="156"/>
      <c r="II28" s="157"/>
      <c r="IJ28" s="158"/>
      <c r="IK28" s="158"/>
      <c r="IL28" s="159"/>
      <c r="IM28" s="160"/>
      <c r="IN28" s="160"/>
      <c r="IO28" s="162"/>
      <c r="IP28" s="162"/>
      <c r="IQ28" s="162"/>
      <c r="IR28" s="162"/>
      <c r="IS28" s="162"/>
      <c r="IT28" s="162"/>
      <c r="IU28" s="162"/>
      <c r="IV28" s="162"/>
    </row>
    <row r="29" spans="1:256" s="141" customFormat="1" ht="45" x14ac:dyDescent="0.25">
      <c r="A29" s="138">
        <v>3.1</v>
      </c>
      <c r="B29" s="165" t="s">
        <v>413</v>
      </c>
      <c r="C29" s="110">
        <v>7241000</v>
      </c>
      <c r="D29" s="80" t="s">
        <v>21</v>
      </c>
      <c r="E29" s="80"/>
      <c r="F29" s="11">
        <v>362</v>
      </c>
      <c r="G29" s="81" t="s">
        <v>22</v>
      </c>
      <c r="H29" s="81">
        <v>12</v>
      </c>
      <c r="I29" s="151">
        <v>98401</v>
      </c>
      <c r="J29" s="83" t="s">
        <v>429</v>
      </c>
      <c r="K29" s="83">
        <v>770616</v>
      </c>
      <c r="L29" s="166" t="s">
        <v>449</v>
      </c>
      <c r="M29" s="166">
        <v>41244</v>
      </c>
      <c r="N29" s="83"/>
      <c r="O29" s="83"/>
      <c r="P29" s="83">
        <v>12</v>
      </c>
      <c r="Q29" s="83">
        <v>753947</v>
      </c>
      <c r="R29" s="83">
        <v>9</v>
      </c>
      <c r="S29" s="83">
        <v>16669</v>
      </c>
      <c r="T29" s="83"/>
      <c r="U29" s="83"/>
      <c r="V29" s="83"/>
      <c r="W29" s="83"/>
      <c r="X29" s="167"/>
      <c r="Y29" s="168"/>
      <c r="Z29" s="168"/>
      <c r="AA29" s="168"/>
      <c r="AB29" s="168"/>
      <c r="AC29" s="168"/>
      <c r="AD29" s="168"/>
      <c r="AE29" s="168"/>
    </row>
    <row r="30" spans="1:256" s="141" customFormat="1" ht="15" customHeight="1" x14ac:dyDescent="0.25">
      <c r="A30" s="138">
        <v>3.2</v>
      </c>
      <c r="B30" s="165" t="s">
        <v>402</v>
      </c>
      <c r="C30" s="110">
        <v>7412040</v>
      </c>
      <c r="D30" s="80" t="s">
        <v>23</v>
      </c>
      <c r="E30" s="80"/>
      <c r="F30" s="110">
        <v>796</v>
      </c>
      <c r="G30" s="81" t="s">
        <v>24</v>
      </c>
      <c r="H30" s="129">
        <v>1</v>
      </c>
      <c r="I30" s="151">
        <v>98401</v>
      </c>
      <c r="J30" s="83" t="s">
        <v>429</v>
      </c>
      <c r="K30" s="26">
        <v>550000</v>
      </c>
      <c r="L30" s="166" t="s">
        <v>10</v>
      </c>
      <c r="M30" s="166">
        <v>41245</v>
      </c>
      <c r="N30" s="26"/>
      <c r="O30" s="26"/>
      <c r="P30" s="24"/>
      <c r="Q30" s="24"/>
      <c r="R30" s="83"/>
      <c r="S30" s="27"/>
      <c r="T30" s="83"/>
      <c r="U30" s="83"/>
      <c r="V30" s="24">
        <v>1</v>
      </c>
      <c r="W30" s="27">
        <v>550000</v>
      </c>
      <c r="X30" s="26">
        <v>320000</v>
      </c>
      <c r="Y30" s="168"/>
      <c r="Z30" s="168"/>
      <c r="AA30" s="168"/>
      <c r="AB30" s="168"/>
      <c r="AC30" s="168"/>
      <c r="AD30" s="168"/>
      <c r="AE30" s="168"/>
    </row>
    <row r="31" spans="1:256" s="141" customFormat="1" x14ac:dyDescent="0.25">
      <c r="A31" s="138">
        <v>3.3</v>
      </c>
      <c r="B31" s="165" t="s">
        <v>459</v>
      </c>
      <c r="C31" s="110">
        <v>7410000</v>
      </c>
      <c r="D31" s="80" t="s">
        <v>25</v>
      </c>
      <c r="E31" s="80"/>
      <c r="F31" s="110">
        <v>796</v>
      </c>
      <c r="G31" s="81" t="s">
        <v>24</v>
      </c>
      <c r="H31" s="129">
        <v>1</v>
      </c>
      <c r="I31" s="151">
        <v>98401</v>
      </c>
      <c r="J31" s="83" t="s">
        <v>429</v>
      </c>
      <c r="K31" s="26">
        <v>300000</v>
      </c>
      <c r="L31" s="166" t="s">
        <v>10</v>
      </c>
      <c r="M31" s="166">
        <v>41245</v>
      </c>
      <c r="N31" s="133"/>
      <c r="O31" s="133"/>
      <c r="P31" s="82"/>
      <c r="Q31" s="27"/>
      <c r="R31" s="83"/>
      <c r="S31" s="27"/>
      <c r="T31" s="83"/>
      <c r="U31" s="83"/>
      <c r="V31" s="24">
        <v>1</v>
      </c>
      <c r="W31" s="24">
        <v>300000</v>
      </c>
      <c r="X31" s="26"/>
      <c r="Y31" s="168"/>
      <c r="Z31" s="168"/>
      <c r="AA31" s="168"/>
      <c r="AB31" s="168"/>
      <c r="AC31" s="168"/>
      <c r="AD31" s="168"/>
      <c r="AE31" s="168"/>
    </row>
    <row r="32" spans="1:256" s="141" customFormat="1" ht="30" x14ac:dyDescent="0.25">
      <c r="A32" s="138">
        <v>3.4</v>
      </c>
      <c r="B32" s="165" t="s">
        <v>460</v>
      </c>
      <c r="C32" s="110">
        <v>7490000</v>
      </c>
      <c r="D32" s="80" t="s">
        <v>336</v>
      </c>
      <c r="E32" s="80"/>
      <c r="F32" s="110">
        <v>796</v>
      </c>
      <c r="G32" s="81" t="s">
        <v>24</v>
      </c>
      <c r="H32" s="129">
        <v>3</v>
      </c>
      <c r="I32" s="151">
        <v>98401</v>
      </c>
      <c r="J32" s="83" t="s">
        <v>429</v>
      </c>
      <c r="K32" s="26">
        <v>54000</v>
      </c>
      <c r="L32" s="166" t="s">
        <v>9</v>
      </c>
      <c r="M32" s="166">
        <v>41183</v>
      </c>
      <c r="N32" s="133"/>
      <c r="O32" s="133"/>
      <c r="P32" s="82"/>
      <c r="Q32" s="27"/>
      <c r="R32" s="83"/>
      <c r="S32" s="27"/>
      <c r="T32" s="83">
        <v>3</v>
      </c>
      <c r="U32" s="83">
        <v>54000</v>
      </c>
      <c r="V32" s="24"/>
      <c r="W32" s="24"/>
      <c r="X32" s="26"/>
      <c r="Y32" s="168"/>
      <c r="Z32" s="168"/>
      <c r="AA32" s="168"/>
      <c r="AB32" s="168"/>
      <c r="AC32" s="168"/>
      <c r="AD32" s="168"/>
      <c r="AE32" s="168"/>
    </row>
    <row r="33" spans="1:256" s="141" customFormat="1" ht="30" x14ac:dyDescent="0.25">
      <c r="A33" s="138">
        <v>3.5</v>
      </c>
      <c r="B33" s="165" t="s">
        <v>461</v>
      </c>
      <c r="C33" s="110">
        <v>7241000</v>
      </c>
      <c r="D33" s="80" t="s">
        <v>358</v>
      </c>
      <c r="E33" s="80"/>
      <c r="F33" s="114"/>
      <c r="G33" s="81"/>
      <c r="H33" s="129">
        <v>2</v>
      </c>
      <c r="I33" s="151">
        <v>98401</v>
      </c>
      <c r="J33" s="83" t="s">
        <v>429</v>
      </c>
      <c r="K33" s="26">
        <v>58711</v>
      </c>
      <c r="L33" s="166" t="s">
        <v>9</v>
      </c>
      <c r="M33" s="166">
        <v>41184</v>
      </c>
      <c r="N33" s="133"/>
      <c r="O33" s="133"/>
      <c r="P33" s="82"/>
      <c r="Q33" s="27"/>
      <c r="R33" s="83"/>
      <c r="S33" s="27"/>
      <c r="T33" s="83">
        <v>2</v>
      </c>
      <c r="U33" s="83">
        <v>58711</v>
      </c>
      <c r="V33" s="24"/>
      <c r="W33" s="24"/>
      <c r="X33" s="26"/>
      <c r="Y33" s="168"/>
      <c r="Z33" s="168"/>
      <c r="AA33" s="168"/>
      <c r="AB33" s="168"/>
      <c r="AC33" s="168"/>
      <c r="AD33" s="168"/>
      <c r="AE33" s="168"/>
    </row>
    <row r="34" spans="1:256" s="141" customFormat="1" ht="30" x14ac:dyDescent="0.25">
      <c r="A34" s="138">
        <v>3.6</v>
      </c>
      <c r="B34" s="165" t="s">
        <v>462</v>
      </c>
      <c r="C34" s="110">
        <v>7490000</v>
      </c>
      <c r="D34" s="80" t="s">
        <v>359</v>
      </c>
      <c r="E34" s="80"/>
      <c r="F34" s="114"/>
      <c r="G34" s="81"/>
      <c r="H34" s="129"/>
      <c r="I34" s="151">
        <v>98401</v>
      </c>
      <c r="J34" s="83" t="s">
        <v>429</v>
      </c>
      <c r="K34" s="26"/>
      <c r="L34" s="166" t="s">
        <v>8</v>
      </c>
      <c r="M34" s="166">
        <v>41061</v>
      </c>
      <c r="N34" s="133"/>
      <c r="O34" s="133"/>
      <c r="P34" s="82"/>
      <c r="Q34" s="27"/>
      <c r="R34" s="83">
        <v>1</v>
      </c>
      <c r="S34" s="27">
        <v>94800</v>
      </c>
      <c r="T34" s="83"/>
      <c r="U34" s="83"/>
      <c r="V34" s="24"/>
      <c r="W34" s="24"/>
      <c r="X34" s="26"/>
      <c r="Y34" s="168"/>
      <c r="Z34" s="168"/>
      <c r="AA34" s="168"/>
      <c r="AB34" s="168"/>
      <c r="AC34" s="168"/>
      <c r="AD34" s="168"/>
      <c r="AE34" s="168"/>
    </row>
    <row r="35" spans="1:256" s="141" customFormat="1" ht="30" x14ac:dyDescent="0.25">
      <c r="A35" s="138">
        <v>3.7</v>
      </c>
      <c r="B35" s="165" t="s">
        <v>463</v>
      </c>
      <c r="C35" s="110">
        <v>7490000</v>
      </c>
      <c r="D35" s="80" t="s">
        <v>357</v>
      </c>
      <c r="E35" s="80"/>
      <c r="F35" s="114"/>
      <c r="G35" s="81"/>
      <c r="H35" s="129">
        <v>4</v>
      </c>
      <c r="I35" s="151">
        <v>98401</v>
      </c>
      <c r="J35" s="83" t="s">
        <v>429</v>
      </c>
      <c r="K35" s="26">
        <v>27730</v>
      </c>
      <c r="L35" s="166" t="s">
        <v>9</v>
      </c>
      <c r="M35" s="166">
        <v>41184</v>
      </c>
      <c r="N35" s="133"/>
      <c r="O35" s="133"/>
      <c r="P35" s="82"/>
      <c r="Q35" s="27"/>
      <c r="R35" s="83"/>
      <c r="S35" s="27"/>
      <c r="T35" s="83">
        <v>4</v>
      </c>
      <c r="U35" s="83">
        <v>27730</v>
      </c>
      <c r="V35" s="24"/>
      <c r="W35" s="24"/>
      <c r="X35" s="26"/>
      <c r="Y35" s="168"/>
      <c r="Z35" s="168"/>
      <c r="AA35" s="168"/>
      <c r="AB35" s="168"/>
      <c r="AC35" s="168"/>
      <c r="AD35" s="168"/>
      <c r="AE35" s="168"/>
    </row>
    <row r="36" spans="1:256" s="164" customFormat="1" ht="14.25" x14ac:dyDescent="0.2">
      <c r="A36" s="140">
        <v>4</v>
      </c>
      <c r="B36" s="156"/>
      <c r="C36" s="157">
        <v>7523000</v>
      </c>
      <c r="D36" s="158" t="s">
        <v>26</v>
      </c>
      <c r="E36" s="158"/>
      <c r="F36" s="159"/>
      <c r="G36" s="160"/>
      <c r="H36" s="160"/>
      <c r="I36" s="161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3"/>
      <c r="Y36" s="140"/>
      <c r="Z36" s="156"/>
      <c r="AA36" s="157"/>
      <c r="AB36" s="158"/>
      <c r="AC36" s="158"/>
      <c r="AD36" s="159"/>
      <c r="AE36" s="160"/>
      <c r="AF36" s="160"/>
      <c r="AG36" s="162"/>
      <c r="AH36" s="162"/>
      <c r="AI36" s="162"/>
      <c r="AJ36" s="162"/>
      <c r="AK36" s="162"/>
      <c r="AL36" s="162"/>
      <c r="AM36" s="162"/>
      <c r="AN36" s="162"/>
      <c r="AO36" s="162"/>
      <c r="AP36" s="162"/>
      <c r="AQ36" s="162"/>
      <c r="AR36" s="162"/>
      <c r="AS36" s="162"/>
      <c r="AT36" s="162"/>
      <c r="AU36" s="162"/>
      <c r="AV36" s="163"/>
      <c r="AW36" s="140"/>
      <c r="AX36" s="156"/>
      <c r="AY36" s="157"/>
      <c r="AZ36" s="158"/>
      <c r="BA36" s="158"/>
      <c r="BB36" s="159"/>
      <c r="BC36" s="160"/>
      <c r="BD36" s="160"/>
      <c r="BE36" s="162"/>
      <c r="BF36" s="162"/>
      <c r="BG36" s="162"/>
      <c r="BH36" s="162"/>
      <c r="BI36" s="162"/>
      <c r="BJ36" s="162"/>
      <c r="BK36" s="162"/>
      <c r="BL36" s="162"/>
      <c r="BM36" s="162"/>
      <c r="BN36" s="162"/>
      <c r="BO36" s="162"/>
      <c r="BP36" s="162"/>
      <c r="BQ36" s="162"/>
      <c r="BR36" s="162"/>
      <c r="BS36" s="162"/>
      <c r="BT36" s="163"/>
      <c r="BU36" s="140"/>
      <c r="BV36" s="156"/>
      <c r="BW36" s="157"/>
      <c r="BX36" s="158"/>
      <c r="BY36" s="158"/>
      <c r="BZ36" s="159"/>
      <c r="CA36" s="160"/>
      <c r="CB36" s="160"/>
      <c r="CC36" s="162"/>
      <c r="CD36" s="162"/>
      <c r="CE36" s="162"/>
      <c r="CF36" s="162"/>
      <c r="CG36" s="162"/>
      <c r="CH36" s="162"/>
      <c r="CI36" s="162"/>
      <c r="CJ36" s="162"/>
      <c r="CK36" s="162"/>
      <c r="CL36" s="162"/>
      <c r="CM36" s="162"/>
      <c r="CN36" s="162"/>
      <c r="CO36" s="162"/>
      <c r="CP36" s="162"/>
      <c r="CQ36" s="162"/>
      <c r="CR36" s="163"/>
      <c r="CS36" s="140"/>
      <c r="CT36" s="156"/>
      <c r="CU36" s="157"/>
      <c r="CV36" s="158"/>
      <c r="CW36" s="158"/>
      <c r="CX36" s="159"/>
      <c r="CY36" s="160"/>
      <c r="CZ36" s="160"/>
      <c r="DA36" s="162"/>
      <c r="DB36" s="162"/>
      <c r="DC36" s="162"/>
      <c r="DD36" s="162"/>
      <c r="DE36" s="162"/>
      <c r="DF36" s="162"/>
      <c r="DG36" s="162"/>
      <c r="DH36" s="162"/>
      <c r="DI36" s="162"/>
      <c r="DJ36" s="162"/>
      <c r="DK36" s="162"/>
      <c r="DL36" s="162"/>
      <c r="DM36" s="162"/>
      <c r="DN36" s="162"/>
      <c r="DO36" s="162"/>
      <c r="DP36" s="163"/>
      <c r="DQ36" s="140"/>
      <c r="DR36" s="156"/>
      <c r="DS36" s="157"/>
      <c r="DT36" s="158"/>
      <c r="DU36" s="158"/>
      <c r="DV36" s="159"/>
      <c r="DW36" s="160"/>
      <c r="DX36" s="160"/>
      <c r="DY36" s="162"/>
      <c r="DZ36" s="162"/>
      <c r="EA36" s="162"/>
      <c r="EB36" s="162"/>
      <c r="EC36" s="162"/>
      <c r="ED36" s="162"/>
      <c r="EE36" s="162"/>
      <c r="EF36" s="162"/>
      <c r="EG36" s="162"/>
      <c r="EH36" s="162"/>
      <c r="EI36" s="162"/>
      <c r="EJ36" s="162"/>
      <c r="EK36" s="162"/>
      <c r="EL36" s="162"/>
      <c r="EM36" s="162"/>
      <c r="EN36" s="163"/>
      <c r="EO36" s="140"/>
      <c r="EP36" s="156"/>
      <c r="EQ36" s="157"/>
      <c r="ER36" s="158"/>
      <c r="ES36" s="158"/>
      <c r="ET36" s="159"/>
      <c r="EU36" s="160"/>
      <c r="EV36" s="160"/>
      <c r="EW36" s="162"/>
      <c r="EX36" s="162"/>
      <c r="EY36" s="162"/>
      <c r="EZ36" s="162"/>
      <c r="FA36" s="162"/>
      <c r="FB36" s="162"/>
      <c r="FC36" s="162"/>
      <c r="FD36" s="162"/>
      <c r="FE36" s="162"/>
      <c r="FF36" s="162"/>
      <c r="FG36" s="162"/>
      <c r="FH36" s="162"/>
      <c r="FI36" s="162"/>
      <c r="FJ36" s="162"/>
      <c r="FK36" s="162"/>
      <c r="FL36" s="163"/>
      <c r="FM36" s="140"/>
      <c r="FN36" s="156"/>
      <c r="FO36" s="157"/>
      <c r="FP36" s="158"/>
      <c r="FQ36" s="158"/>
      <c r="FR36" s="159"/>
      <c r="FS36" s="160"/>
      <c r="FT36" s="160"/>
      <c r="FU36" s="162"/>
      <c r="FV36" s="162"/>
      <c r="FW36" s="162"/>
      <c r="FX36" s="162"/>
      <c r="FY36" s="162"/>
      <c r="FZ36" s="162"/>
      <c r="GA36" s="162"/>
      <c r="GB36" s="162"/>
      <c r="GC36" s="162"/>
      <c r="GD36" s="162"/>
      <c r="GE36" s="162"/>
      <c r="GF36" s="162"/>
      <c r="GG36" s="162"/>
      <c r="GH36" s="162"/>
      <c r="GI36" s="162"/>
      <c r="GJ36" s="163"/>
      <c r="GK36" s="140"/>
      <c r="GL36" s="156"/>
      <c r="GM36" s="157"/>
      <c r="GN36" s="158"/>
      <c r="GO36" s="158"/>
      <c r="GP36" s="159"/>
      <c r="GQ36" s="160"/>
      <c r="GR36" s="160"/>
      <c r="GS36" s="162"/>
      <c r="GT36" s="162"/>
      <c r="GU36" s="162"/>
      <c r="GV36" s="162"/>
      <c r="GW36" s="162"/>
      <c r="GX36" s="162"/>
      <c r="GY36" s="162"/>
      <c r="GZ36" s="162"/>
      <c r="HA36" s="162"/>
      <c r="HB36" s="162"/>
      <c r="HC36" s="162"/>
      <c r="HD36" s="162"/>
      <c r="HE36" s="162"/>
      <c r="HF36" s="162"/>
      <c r="HG36" s="162"/>
      <c r="HH36" s="163"/>
      <c r="HI36" s="140"/>
      <c r="HJ36" s="156"/>
      <c r="HK36" s="157"/>
      <c r="HL36" s="158"/>
      <c r="HM36" s="158"/>
      <c r="HN36" s="159"/>
      <c r="HO36" s="160"/>
      <c r="HP36" s="160"/>
      <c r="HQ36" s="162"/>
      <c r="HR36" s="162"/>
      <c r="HS36" s="162"/>
      <c r="HT36" s="162"/>
      <c r="HU36" s="162"/>
      <c r="HV36" s="162"/>
      <c r="HW36" s="162"/>
      <c r="HX36" s="162"/>
      <c r="HY36" s="162"/>
      <c r="HZ36" s="162"/>
      <c r="IA36" s="162"/>
      <c r="IB36" s="162"/>
      <c r="IC36" s="162"/>
      <c r="ID36" s="162"/>
      <c r="IE36" s="162"/>
      <c r="IF36" s="163"/>
      <c r="IG36" s="140"/>
      <c r="IH36" s="156"/>
      <c r="II36" s="157"/>
      <c r="IJ36" s="158"/>
      <c r="IK36" s="158"/>
      <c r="IL36" s="159"/>
      <c r="IM36" s="160"/>
      <c r="IN36" s="160"/>
      <c r="IO36" s="162"/>
      <c r="IP36" s="162"/>
      <c r="IQ36" s="162"/>
      <c r="IR36" s="162"/>
      <c r="IS36" s="162"/>
      <c r="IT36" s="162"/>
      <c r="IU36" s="162"/>
      <c r="IV36" s="162"/>
    </row>
    <row r="37" spans="1:256" s="141" customFormat="1" ht="30" x14ac:dyDescent="0.25">
      <c r="A37" s="138">
        <v>4.0999999999999996</v>
      </c>
      <c r="B37" s="165" t="s">
        <v>403</v>
      </c>
      <c r="C37" s="110">
        <v>7523000</v>
      </c>
      <c r="D37" s="80" t="s">
        <v>27</v>
      </c>
      <c r="E37" s="43"/>
      <c r="F37" s="11">
        <v>362</v>
      </c>
      <c r="G37" s="81" t="s">
        <v>22</v>
      </c>
      <c r="H37" s="81">
        <v>9</v>
      </c>
      <c r="I37" s="151">
        <v>98241501</v>
      </c>
      <c r="J37" s="24" t="s">
        <v>456</v>
      </c>
      <c r="K37" s="83">
        <v>90000</v>
      </c>
      <c r="L37" s="166" t="s">
        <v>450</v>
      </c>
      <c r="M37" s="166">
        <v>41244</v>
      </c>
      <c r="N37" s="83"/>
      <c r="O37" s="83"/>
      <c r="P37" s="83"/>
      <c r="Q37" s="83"/>
      <c r="R37" s="83">
        <v>3</v>
      </c>
      <c r="S37" s="83">
        <v>30000</v>
      </c>
      <c r="T37" s="83">
        <v>3</v>
      </c>
      <c r="U37" s="83">
        <v>30000</v>
      </c>
      <c r="V37" s="83">
        <v>3</v>
      </c>
      <c r="W37" s="83">
        <v>30000</v>
      </c>
      <c r="X37" s="167"/>
      <c r="Y37" s="168"/>
      <c r="Z37" s="168"/>
      <c r="AA37" s="168"/>
      <c r="AB37" s="168"/>
      <c r="AC37" s="168"/>
      <c r="AD37" s="168"/>
      <c r="AE37" s="168"/>
    </row>
    <row r="38" spans="1:256" s="141" customFormat="1" ht="30" x14ac:dyDescent="0.25">
      <c r="A38" s="138">
        <v>4.2</v>
      </c>
      <c r="B38" s="165" t="s">
        <v>403</v>
      </c>
      <c r="C38" s="110">
        <v>7523000</v>
      </c>
      <c r="D38" s="172" t="s">
        <v>28</v>
      </c>
      <c r="E38" s="173"/>
      <c r="F38" s="11">
        <v>362</v>
      </c>
      <c r="G38" s="81" t="s">
        <v>22</v>
      </c>
      <c r="H38" s="81">
        <v>6</v>
      </c>
      <c r="I38" s="151">
        <v>98204</v>
      </c>
      <c r="J38" s="83" t="s">
        <v>431</v>
      </c>
      <c r="K38" s="83">
        <v>60000</v>
      </c>
      <c r="L38" s="166" t="s">
        <v>450</v>
      </c>
      <c r="M38" s="166">
        <v>41244</v>
      </c>
      <c r="N38" s="83"/>
      <c r="O38" s="83"/>
      <c r="P38" s="83"/>
      <c r="Q38" s="83"/>
      <c r="R38" s="83"/>
      <c r="S38" s="83"/>
      <c r="T38" s="83">
        <v>3</v>
      </c>
      <c r="U38" s="83">
        <v>30000</v>
      </c>
      <c r="V38" s="83">
        <v>3</v>
      </c>
      <c r="W38" s="83">
        <v>30000</v>
      </c>
      <c r="X38" s="167"/>
      <c r="Y38" s="168"/>
      <c r="Z38" s="168"/>
      <c r="AA38" s="168"/>
      <c r="AB38" s="168"/>
      <c r="AC38" s="168"/>
      <c r="AD38" s="168"/>
      <c r="AE38" s="168"/>
    </row>
    <row r="39" spans="1:256" s="141" customFormat="1" ht="30" x14ac:dyDescent="0.25">
      <c r="A39" s="138">
        <v>4.3</v>
      </c>
      <c r="B39" s="165" t="s">
        <v>403</v>
      </c>
      <c r="C39" s="110">
        <v>7523000</v>
      </c>
      <c r="D39" s="172" t="s">
        <v>29</v>
      </c>
      <c r="E39" s="173"/>
      <c r="F39" s="11">
        <v>362</v>
      </c>
      <c r="G39" s="81" t="s">
        <v>22</v>
      </c>
      <c r="H39" s="81">
        <v>6</v>
      </c>
      <c r="I39" s="151">
        <v>98254551</v>
      </c>
      <c r="J39" s="24" t="s">
        <v>442</v>
      </c>
      <c r="K39" s="83">
        <v>60000</v>
      </c>
      <c r="L39" s="166" t="s">
        <v>450</v>
      </c>
      <c r="M39" s="166">
        <v>41244</v>
      </c>
      <c r="N39" s="83"/>
      <c r="O39" s="83"/>
      <c r="P39" s="83"/>
      <c r="Q39" s="83"/>
      <c r="R39" s="83"/>
      <c r="S39" s="83"/>
      <c r="T39" s="83">
        <v>3</v>
      </c>
      <c r="U39" s="83">
        <v>30000</v>
      </c>
      <c r="V39" s="83">
        <v>3</v>
      </c>
      <c r="W39" s="83">
        <v>30000</v>
      </c>
      <c r="X39" s="167"/>
      <c r="Y39" s="168"/>
      <c r="Z39" s="168"/>
      <c r="AA39" s="168"/>
      <c r="AB39" s="168"/>
      <c r="AC39" s="168"/>
      <c r="AD39" s="168"/>
      <c r="AE39" s="168"/>
    </row>
    <row r="40" spans="1:256" s="141" customFormat="1" ht="30" x14ac:dyDescent="0.25">
      <c r="A40" s="138">
        <v>4.4000000000000004</v>
      </c>
      <c r="B40" s="165" t="s">
        <v>403</v>
      </c>
      <c r="C40" s="110">
        <v>7523000</v>
      </c>
      <c r="D40" s="172" t="s">
        <v>30</v>
      </c>
      <c r="E40" s="173"/>
      <c r="F40" s="11">
        <v>362</v>
      </c>
      <c r="G40" s="81" t="s">
        <v>22</v>
      </c>
      <c r="H40" s="81">
        <v>6</v>
      </c>
      <c r="I40" s="151">
        <v>98229</v>
      </c>
      <c r="J40" s="174" t="s">
        <v>439</v>
      </c>
      <c r="K40" s="83">
        <v>60000</v>
      </c>
      <c r="L40" s="166" t="s">
        <v>450</v>
      </c>
      <c r="M40" s="166">
        <v>41244</v>
      </c>
      <c r="N40" s="83"/>
      <c r="O40" s="83"/>
      <c r="P40" s="83"/>
      <c r="Q40" s="83"/>
      <c r="R40" s="83"/>
      <c r="S40" s="83"/>
      <c r="T40" s="83">
        <v>3</v>
      </c>
      <c r="U40" s="83">
        <v>30000</v>
      </c>
      <c r="V40" s="83">
        <v>3</v>
      </c>
      <c r="W40" s="83">
        <v>30000</v>
      </c>
      <c r="X40" s="167"/>
      <c r="Y40" s="168"/>
      <c r="Z40" s="168"/>
      <c r="AA40" s="168"/>
      <c r="AB40" s="168"/>
      <c r="AC40" s="168"/>
      <c r="AD40" s="168"/>
      <c r="AE40" s="168"/>
    </row>
    <row r="41" spans="1:256" s="141" customFormat="1" ht="30" x14ac:dyDescent="0.25">
      <c r="A41" s="138">
        <v>4.5</v>
      </c>
      <c r="B41" s="165" t="s">
        <v>403</v>
      </c>
      <c r="C41" s="110">
        <v>7523000</v>
      </c>
      <c r="D41" s="172" t="s">
        <v>31</v>
      </c>
      <c r="E41" s="173"/>
      <c r="F41" s="11">
        <v>362</v>
      </c>
      <c r="G41" s="81" t="s">
        <v>22</v>
      </c>
      <c r="H41" s="81">
        <v>12</v>
      </c>
      <c r="I41" s="151">
        <v>98248</v>
      </c>
      <c r="J41" s="83" t="s">
        <v>444</v>
      </c>
      <c r="K41" s="83">
        <v>54000</v>
      </c>
      <c r="L41" s="166" t="s">
        <v>7</v>
      </c>
      <c r="M41" s="166">
        <v>41244</v>
      </c>
      <c r="N41" s="83"/>
      <c r="O41" s="83"/>
      <c r="P41" s="83">
        <v>12</v>
      </c>
      <c r="Q41" s="83">
        <v>54000</v>
      </c>
      <c r="R41" s="83"/>
      <c r="S41" s="83"/>
      <c r="T41" s="83"/>
      <c r="U41" s="83"/>
      <c r="V41" s="83"/>
      <c r="W41" s="83"/>
      <c r="X41" s="167"/>
      <c r="Y41" s="168"/>
      <c r="Z41" s="168"/>
      <c r="AA41" s="168"/>
      <c r="AB41" s="168"/>
      <c r="AC41" s="168"/>
      <c r="AD41" s="168"/>
      <c r="AE41" s="168"/>
    </row>
    <row r="42" spans="1:256" s="141" customFormat="1" ht="30" x14ac:dyDescent="0.25">
      <c r="A42" s="138">
        <v>4.5999999999999996</v>
      </c>
      <c r="B42" s="165" t="s">
        <v>403</v>
      </c>
      <c r="C42" s="110">
        <v>7523000</v>
      </c>
      <c r="D42" s="172" t="s">
        <v>32</v>
      </c>
      <c r="E42" s="80"/>
      <c r="F42" s="11">
        <v>362</v>
      </c>
      <c r="G42" s="81" t="s">
        <v>22</v>
      </c>
      <c r="H42" s="81">
        <v>12</v>
      </c>
      <c r="I42" s="151">
        <v>98218501</v>
      </c>
      <c r="J42" s="174" t="s">
        <v>434</v>
      </c>
      <c r="K42" s="83">
        <v>112230</v>
      </c>
      <c r="L42" s="166" t="s">
        <v>7</v>
      </c>
      <c r="M42" s="166">
        <v>41244</v>
      </c>
      <c r="N42" s="83"/>
      <c r="O42" s="83"/>
      <c r="P42" s="83">
        <v>12</v>
      </c>
      <c r="Q42" s="83">
        <v>112230</v>
      </c>
      <c r="R42" s="83"/>
      <c r="S42" s="83"/>
      <c r="T42" s="83"/>
      <c r="U42" s="83"/>
      <c r="V42" s="83"/>
      <c r="W42" s="83"/>
      <c r="X42" s="167"/>
      <c r="Y42" s="168"/>
      <c r="Z42" s="168"/>
      <c r="AA42" s="168"/>
      <c r="AB42" s="168"/>
      <c r="AC42" s="168"/>
      <c r="AD42" s="168"/>
      <c r="AE42" s="168"/>
    </row>
    <row r="43" spans="1:256" s="141" customFormat="1" ht="30" x14ac:dyDescent="0.25">
      <c r="A43" s="138">
        <v>4.7</v>
      </c>
      <c r="B43" s="165" t="s">
        <v>403</v>
      </c>
      <c r="C43" s="110">
        <v>7523000</v>
      </c>
      <c r="D43" s="80" t="s">
        <v>33</v>
      </c>
      <c r="E43" s="43"/>
      <c r="F43" s="11">
        <v>362</v>
      </c>
      <c r="G43" s="81" t="s">
        <v>22</v>
      </c>
      <c r="H43" s="129">
        <v>12</v>
      </c>
      <c r="I43" s="151">
        <v>98227501</v>
      </c>
      <c r="J43" s="24" t="s">
        <v>430</v>
      </c>
      <c r="K43" s="24">
        <v>240000</v>
      </c>
      <c r="L43" s="166" t="s">
        <v>7</v>
      </c>
      <c r="M43" s="166">
        <v>41244</v>
      </c>
      <c r="N43" s="24"/>
      <c r="O43" s="24"/>
      <c r="P43" s="83">
        <v>12</v>
      </c>
      <c r="Q43" s="83">
        <v>240000</v>
      </c>
      <c r="R43" s="83"/>
      <c r="S43" s="83"/>
      <c r="T43" s="83"/>
      <c r="U43" s="83"/>
      <c r="V43" s="83"/>
      <c r="W43" s="83"/>
      <c r="X43" s="167"/>
      <c r="Y43" s="168"/>
      <c r="Z43" s="168"/>
      <c r="AA43" s="168"/>
      <c r="AB43" s="168"/>
      <c r="AC43" s="168"/>
      <c r="AD43" s="168"/>
      <c r="AE43" s="168"/>
    </row>
    <row r="44" spans="1:256" s="141" customFormat="1" ht="30" x14ac:dyDescent="0.25">
      <c r="A44" s="138">
        <v>4.8</v>
      </c>
      <c r="B44" s="165" t="s">
        <v>403</v>
      </c>
      <c r="C44" s="110">
        <v>7523000</v>
      </c>
      <c r="D44" s="80" t="s">
        <v>34</v>
      </c>
      <c r="E44" s="43"/>
      <c r="F44" s="11">
        <v>362</v>
      </c>
      <c r="G44" s="81" t="s">
        <v>22</v>
      </c>
      <c r="H44" s="129">
        <v>12</v>
      </c>
      <c r="I44" s="151">
        <v>98231552</v>
      </c>
      <c r="J44" s="24" t="s">
        <v>432</v>
      </c>
      <c r="K44" s="24">
        <v>130516</v>
      </c>
      <c r="L44" s="166" t="s">
        <v>7</v>
      </c>
      <c r="M44" s="166">
        <v>41244</v>
      </c>
      <c r="N44" s="24"/>
      <c r="O44" s="24"/>
      <c r="P44" s="83">
        <v>12</v>
      </c>
      <c r="Q44" s="83">
        <v>130516</v>
      </c>
      <c r="R44" s="83"/>
      <c r="S44" s="83"/>
      <c r="T44" s="83"/>
      <c r="U44" s="83"/>
      <c r="V44" s="83"/>
      <c r="W44" s="83"/>
      <c r="X44" s="167"/>
      <c r="Y44" s="168"/>
      <c r="Z44" s="168"/>
      <c r="AA44" s="168"/>
      <c r="AB44" s="168"/>
      <c r="AC44" s="168"/>
      <c r="AD44" s="168"/>
      <c r="AE44" s="168"/>
    </row>
    <row r="45" spans="1:256" s="141" customFormat="1" ht="30" x14ac:dyDescent="0.25">
      <c r="A45" s="138">
        <v>4.9000000000000004</v>
      </c>
      <c r="B45" s="165" t="s">
        <v>403</v>
      </c>
      <c r="C45" s="110">
        <v>7523000</v>
      </c>
      <c r="D45" s="80" t="s">
        <v>35</v>
      </c>
      <c r="E45" s="43"/>
      <c r="F45" s="11">
        <v>362</v>
      </c>
      <c r="G45" s="81" t="s">
        <v>22</v>
      </c>
      <c r="H45" s="129">
        <v>12</v>
      </c>
      <c r="I45" s="151">
        <v>98231509</v>
      </c>
      <c r="J45" s="174" t="s">
        <v>443</v>
      </c>
      <c r="K45" s="24">
        <v>124442</v>
      </c>
      <c r="L45" s="166" t="s">
        <v>7</v>
      </c>
      <c r="M45" s="166">
        <v>41244</v>
      </c>
      <c r="N45" s="24"/>
      <c r="O45" s="24"/>
      <c r="P45" s="83">
        <v>12</v>
      </c>
      <c r="Q45" s="83">
        <v>124442</v>
      </c>
      <c r="R45" s="83"/>
      <c r="S45" s="83"/>
      <c r="T45" s="83"/>
      <c r="U45" s="83"/>
      <c r="V45" s="83"/>
      <c r="W45" s="83"/>
      <c r="X45" s="167"/>
      <c r="Y45" s="168"/>
      <c r="Z45" s="168"/>
      <c r="AA45" s="168"/>
      <c r="AB45" s="168"/>
      <c r="AC45" s="168"/>
      <c r="AD45" s="168"/>
      <c r="AE45" s="168"/>
    </row>
    <row r="46" spans="1:256" s="141" customFormat="1" ht="30" x14ac:dyDescent="0.25">
      <c r="A46" s="138">
        <v>4.0999999999999996</v>
      </c>
      <c r="B46" s="165" t="s">
        <v>403</v>
      </c>
      <c r="C46" s="110">
        <v>7523000</v>
      </c>
      <c r="D46" s="80" t="s">
        <v>36</v>
      </c>
      <c r="E46" s="43"/>
      <c r="F46" s="11">
        <v>362</v>
      </c>
      <c r="G46" s="81" t="s">
        <v>22</v>
      </c>
      <c r="H46" s="129">
        <v>12</v>
      </c>
      <c r="I46" s="151">
        <v>98404</v>
      </c>
      <c r="J46" s="174" t="s">
        <v>440</v>
      </c>
      <c r="K46" s="24">
        <v>378509.04</v>
      </c>
      <c r="L46" s="166" t="s">
        <v>7</v>
      </c>
      <c r="M46" s="166">
        <v>41244</v>
      </c>
      <c r="N46" s="24"/>
      <c r="O46" s="24"/>
      <c r="P46" s="83">
        <v>12</v>
      </c>
      <c r="Q46" s="83">
        <v>378509</v>
      </c>
      <c r="R46" s="83"/>
      <c r="S46" s="83"/>
      <c r="T46" s="83"/>
      <c r="U46" s="83"/>
      <c r="V46" s="83"/>
      <c r="W46" s="83"/>
      <c r="X46" s="167"/>
      <c r="Y46" s="168"/>
      <c r="Z46" s="168"/>
      <c r="AA46" s="168"/>
      <c r="AB46" s="168"/>
      <c r="AC46" s="168"/>
      <c r="AD46" s="168"/>
      <c r="AE46" s="168"/>
    </row>
    <row r="47" spans="1:256" s="141" customFormat="1" ht="30" x14ac:dyDescent="0.25">
      <c r="A47" s="138">
        <v>4.1100000000000003</v>
      </c>
      <c r="B47" s="165" t="s">
        <v>403</v>
      </c>
      <c r="C47" s="110">
        <v>7523000</v>
      </c>
      <c r="D47" s="80" t="s">
        <v>37</v>
      </c>
      <c r="E47" s="43"/>
      <c r="F47" s="11">
        <v>362</v>
      </c>
      <c r="G47" s="81" t="s">
        <v>22</v>
      </c>
      <c r="H47" s="129">
        <v>12</v>
      </c>
      <c r="I47" s="151">
        <v>98406</v>
      </c>
      <c r="J47" s="174" t="s">
        <v>441</v>
      </c>
      <c r="K47" s="24">
        <v>69696</v>
      </c>
      <c r="L47" s="166" t="s">
        <v>7</v>
      </c>
      <c r="M47" s="166">
        <v>41244</v>
      </c>
      <c r="N47" s="24"/>
      <c r="O47" s="24"/>
      <c r="P47" s="83">
        <v>12</v>
      </c>
      <c r="Q47" s="83">
        <v>69696</v>
      </c>
      <c r="R47" s="83"/>
      <c r="S47" s="83"/>
      <c r="T47" s="83"/>
      <c r="U47" s="83"/>
      <c r="V47" s="83"/>
      <c r="W47" s="83"/>
      <c r="X47" s="167"/>
      <c r="Y47" s="168"/>
      <c r="Z47" s="168"/>
      <c r="AA47" s="168"/>
      <c r="AB47" s="168"/>
      <c r="AC47" s="168"/>
      <c r="AD47" s="168"/>
      <c r="AE47" s="168"/>
    </row>
    <row r="48" spans="1:256" s="141" customFormat="1" ht="30" x14ac:dyDescent="0.25">
      <c r="A48" s="138">
        <v>4.12</v>
      </c>
      <c r="B48" s="165" t="s">
        <v>403</v>
      </c>
      <c r="C48" s="110">
        <v>7523000</v>
      </c>
      <c r="D48" s="80" t="s">
        <v>38</v>
      </c>
      <c r="E48" s="43"/>
      <c r="F48" s="11">
        <v>362</v>
      </c>
      <c r="G48" s="81" t="s">
        <v>22</v>
      </c>
      <c r="H48" s="129">
        <v>12</v>
      </c>
      <c r="I48" s="151">
        <v>98401</v>
      </c>
      <c r="J48" s="83" t="s">
        <v>429</v>
      </c>
      <c r="K48" s="27">
        <v>1001757.6</v>
      </c>
      <c r="L48" s="166" t="s">
        <v>7</v>
      </c>
      <c r="M48" s="166">
        <v>41244</v>
      </c>
      <c r="N48" s="27"/>
      <c r="O48" s="27"/>
      <c r="P48" s="83">
        <v>12</v>
      </c>
      <c r="Q48" s="83">
        <v>1001758</v>
      </c>
      <c r="R48" s="83"/>
      <c r="S48" s="83"/>
      <c r="T48" s="83"/>
      <c r="U48" s="83"/>
      <c r="V48" s="83"/>
      <c r="W48" s="83"/>
      <c r="X48" s="167"/>
      <c r="Y48" s="168"/>
      <c r="Z48" s="168"/>
      <c r="AA48" s="168"/>
      <c r="AB48" s="168"/>
      <c r="AC48" s="168"/>
      <c r="AD48" s="168"/>
      <c r="AE48" s="168"/>
    </row>
    <row r="49" spans="1:256" s="141" customFormat="1" x14ac:dyDescent="0.25">
      <c r="A49" s="138">
        <v>4.13</v>
      </c>
      <c r="B49" s="165"/>
      <c r="C49" s="110"/>
      <c r="D49" s="43" t="s">
        <v>334</v>
      </c>
      <c r="E49" s="43"/>
      <c r="F49" s="110">
        <v>796</v>
      </c>
      <c r="G49" s="81" t="s">
        <v>17</v>
      </c>
      <c r="H49" s="129">
        <v>1</v>
      </c>
      <c r="I49" s="151">
        <v>98401</v>
      </c>
      <c r="J49" s="83" t="s">
        <v>429</v>
      </c>
      <c r="K49" s="27">
        <v>166487</v>
      </c>
      <c r="L49" s="166" t="s">
        <v>9</v>
      </c>
      <c r="M49" s="166">
        <v>41184</v>
      </c>
      <c r="N49" s="27"/>
      <c r="O49" s="27"/>
      <c r="P49" s="83"/>
      <c r="Q49" s="83"/>
      <c r="R49" s="83"/>
      <c r="S49" s="83"/>
      <c r="T49" s="83">
        <v>1</v>
      </c>
      <c r="U49" s="83">
        <v>166487</v>
      </c>
      <c r="V49" s="83"/>
      <c r="W49" s="83"/>
      <c r="X49" s="167"/>
      <c r="Y49" s="168"/>
      <c r="Z49" s="168"/>
      <c r="AA49" s="168"/>
      <c r="AB49" s="168"/>
      <c r="AC49" s="168"/>
      <c r="AD49" s="168"/>
      <c r="AE49" s="168"/>
    </row>
    <row r="50" spans="1:256" s="164" customFormat="1" ht="14.25" x14ac:dyDescent="0.2">
      <c r="A50" s="140">
        <v>5</v>
      </c>
      <c r="B50" s="156" t="s">
        <v>404</v>
      </c>
      <c r="C50" s="157">
        <v>7492050</v>
      </c>
      <c r="D50" s="158" t="s">
        <v>39</v>
      </c>
      <c r="E50" s="158"/>
      <c r="F50" s="159"/>
      <c r="G50" s="160"/>
      <c r="H50" s="160"/>
      <c r="I50" s="161"/>
      <c r="J50" s="162"/>
      <c r="K50" s="162"/>
      <c r="L50" s="162"/>
      <c r="M50" s="162"/>
      <c r="N50" s="162"/>
      <c r="O50" s="162"/>
      <c r="P50" s="162"/>
      <c r="Q50" s="162"/>
      <c r="R50" s="162"/>
      <c r="S50" s="162"/>
      <c r="T50" s="162"/>
      <c r="U50" s="162"/>
      <c r="V50" s="162"/>
      <c r="W50" s="162"/>
      <c r="X50" s="163"/>
      <c r="Y50" s="140"/>
      <c r="Z50" s="156"/>
      <c r="AA50" s="157"/>
      <c r="AB50" s="158"/>
      <c r="AC50" s="158"/>
      <c r="AD50" s="159"/>
      <c r="AE50" s="160"/>
      <c r="AF50" s="160"/>
      <c r="AG50" s="162"/>
      <c r="AH50" s="162"/>
      <c r="AI50" s="162"/>
      <c r="AJ50" s="162"/>
      <c r="AK50" s="162"/>
      <c r="AL50" s="162"/>
      <c r="AM50" s="162"/>
      <c r="AN50" s="162"/>
      <c r="AO50" s="162"/>
      <c r="AP50" s="162"/>
      <c r="AQ50" s="162"/>
      <c r="AR50" s="162"/>
      <c r="AS50" s="162"/>
      <c r="AT50" s="162"/>
      <c r="AU50" s="162"/>
      <c r="AV50" s="163"/>
      <c r="AW50" s="140"/>
      <c r="AX50" s="156"/>
      <c r="AY50" s="157"/>
      <c r="AZ50" s="158"/>
      <c r="BA50" s="158"/>
      <c r="BB50" s="159"/>
      <c r="BC50" s="160"/>
      <c r="BD50" s="160"/>
      <c r="BE50" s="162"/>
      <c r="BF50" s="162"/>
      <c r="BG50" s="162"/>
      <c r="BH50" s="162"/>
      <c r="BI50" s="162"/>
      <c r="BJ50" s="162"/>
      <c r="BK50" s="162"/>
      <c r="BL50" s="162"/>
      <c r="BM50" s="162"/>
      <c r="BN50" s="162"/>
      <c r="BO50" s="162"/>
      <c r="BP50" s="162"/>
      <c r="BQ50" s="162"/>
      <c r="BR50" s="162"/>
      <c r="BS50" s="162"/>
      <c r="BT50" s="163"/>
      <c r="BU50" s="140"/>
      <c r="BV50" s="156"/>
      <c r="BW50" s="157"/>
      <c r="BX50" s="158"/>
      <c r="BY50" s="158"/>
      <c r="BZ50" s="159"/>
      <c r="CA50" s="160"/>
      <c r="CB50" s="160"/>
      <c r="CC50" s="162"/>
      <c r="CD50" s="162"/>
      <c r="CE50" s="162"/>
      <c r="CF50" s="162"/>
      <c r="CG50" s="162"/>
      <c r="CH50" s="162"/>
      <c r="CI50" s="162"/>
      <c r="CJ50" s="162"/>
      <c r="CK50" s="162"/>
      <c r="CL50" s="162"/>
      <c r="CM50" s="162"/>
      <c r="CN50" s="162"/>
      <c r="CO50" s="162"/>
      <c r="CP50" s="162"/>
      <c r="CQ50" s="162"/>
      <c r="CR50" s="163"/>
      <c r="CS50" s="140"/>
      <c r="CT50" s="156"/>
      <c r="CU50" s="157"/>
      <c r="CV50" s="158"/>
      <c r="CW50" s="158"/>
      <c r="CX50" s="159"/>
      <c r="CY50" s="160"/>
      <c r="CZ50" s="160"/>
      <c r="DA50" s="162"/>
      <c r="DB50" s="162"/>
      <c r="DC50" s="162"/>
      <c r="DD50" s="162"/>
      <c r="DE50" s="162"/>
      <c r="DF50" s="162"/>
      <c r="DG50" s="162"/>
      <c r="DH50" s="162"/>
      <c r="DI50" s="162"/>
      <c r="DJ50" s="162"/>
      <c r="DK50" s="162"/>
      <c r="DL50" s="162"/>
      <c r="DM50" s="162"/>
      <c r="DN50" s="162"/>
      <c r="DO50" s="162"/>
      <c r="DP50" s="163"/>
      <c r="DQ50" s="140"/>
      <c r="DR50" s="156"/>
      <c r="DS50" s="157"/>
      <c r="DT50" s="158"/>
      <c r="DU50" s="158"/>
      <c r="DV50" s="159"/>
      <c r="DW50" s="160"/>
      <c r="DX50" s="160"/>
      <c r="DY50" s="162"/>
      <c r="DZ50" s="162"/>
      <c r="EA50" s="162"/>
      <c r="EB50" s="162"/>
      <c r="EC50" s="162"/>
      <c r="ED50" s="162"/>
      <c r="EE50" s="162"/>
      <c r="EF50" s="162"/>
      <c r="EG50" s="162"/>
      <c r="EH50" s="162"/>
      <c r="EI50" s="162"/>
      <c r="EJ50" s="162"/>
      <c r="EK50" s="162"/>
      <c r="EL50" s="162"/>
      <c r="EM50" s="162"/>
      <c r="EN50" s="163"/>
      <c r="EO50" s="140"/>
      <c r="EP50" s="156"/>
      <c r="EQ50" s="157"/>
      <c r="ER50" s="158"/>
      <c r="ES50" s="158"/>
      <c r="ET50" s="159"/>
      <c r="EU50" s="160"/>
      <c r="EV50" s="160"/>
      <c r="EW50" s="162"/>
      <c r="EX50" s="162"/>
      <c r="EY50" s="162"/>
      <c r="EZ50" s="162"/>
      <c r="FA50" s="162"/>
      <c r="FB50" s="162"/>
      <c r="FC50" s="162"/>
      <c r="FD50" s="162"/>
      <c r="FE50" s="162"/>
      <c r="FF50" s="162"/>
      <c r="FG50" s="162"/>
      <c r="FH50" s="162"/>
      <c r="FI50" s="162"/>
      <c r="FJ50" s="162"/>
      <c r="FK50" s="162"/>
      <c r="FL50" s="163"/>
      <c r="FM50" s="140"/>
      <c r="FN50" s="156"/>
      <c r="FO50" s="157"/>
      <c r="FP50" s="158"/>
      <c r="FQ50" s="158"/>
      <c r="FR50" s="159"/>
      <c r="FS50" s="160"/>
      <c r="FT50" s="160"/>
      <c r="FU50" s="162"/>
      <c r="FV50" s="162"/>
      <c r="FW50" s="162"/>
      <c r="FX50" s="162"/>
      <c r="FY50" s="162"/>
      <c r="FZ50" s="162"/>
      <c r="GA50" s="162"/>
      <c r="GB50" s="162"/>
      <c r="GC50" s="162"/>
      <c r="GD50" s="162"/>
      <c r="GE50" s="162"/>
      <c r="GF50" s="162"/>
      <c r="GG50" s="162"/>
      <c r="GH50" s="162"/>
      <c r="GI50" s="162"/>
      <c r="GJ50" s="163"/>
      <c r="GK50" s="140"/>
      <c r="GL50" s="156"/>
      <c r="GM50" s="157"/>
      <c r="GN50" s="158"/>
      <c r="GO50" s="158"/>
      <c r="GP50" s="159"/>
      <c r="GQ50" s="160"/>
      <c r="GR50" s="160"/>
      <c r="GS50" s="162"/>
      <c r="GT50" s="162"/>
      <c r="GU50" s="162"/>
      <c r="GV50" s="162"/>
      <c r="GW50" s="162"/>
      <c r="GX50" s="162"/>
      <c r="GY50" s="162"/>
      <c r="GZ50" s="162"/>
      <c r="HA50" s="162"/>
      <c r="HB50" s="162"/>
      <c r="HC50" s="162"/>
      <c r="HD50" s="162"/>
      <c r="HE50" s="162"/>
      <c r="HF50" s="162"/>
      <c r="HG50" s="162"/>
      <c r="HH50" s="163"/>
      <c r="HI50" s="140"/>
      <c r="HJ50" s="156"/>
      <c r="HK50" s="157"/>
      <c r="HL50" s="158"/>
      <c r="HM50" s="158"/>
      <c r="HN50" s="159"/>
      <c r="HO50" s="160"/>
      <c r="HP50" s="160"/>
      <c r="HQ50" s="162"/>
      <c r="HR50" s="162"/>
      <c r="HS50" s="162"/>
      <c r="HT50" s="162"/>
      <c r="HU50" s="162"/>
      <c r="HV50" s="162"/>
      <c r="HW50" s="162"/>
      <c r="HX50" s="162"/>
      <c r="HY50" s="162"/>
      <c r="HZ50" s="162"/>
      <c r="IA50" s="162"/>
      <c r="IB50" s="162"/>
      <c r="IC50" s="162"/>
      <c r="ID50" s="162"/>
      <c r="IE50" s="162"/>
      <c r="IF50" s="163"/>
      <c r="IG50" s="140"/>
      <c r="IH50" s="156"/>
      <c r="II50" s="157"/>
      <c r="IJ50" s="158"/>
      <c r="IK50" s="158"/>
      <c r="IL50" s="159"/>
      <c r="IM50" s="160"/>
      <c r="IN50" s="160"/>
      <c r="IO50" s="162"/>
      <c r="IP50" s="162"/>
      <c r="IQ50" s="162"/>
      <c r="IR50" s="162"/>
      <c r="IS50" s="162"/>
      <c r="IT50" s="162"/>
      <c r="IU50" s="162"/>
      <c r="IV50" s="162"/>
    </row>
    <row r="51" spans="1:256" s="141" customFormat="1" x14ac:dyDescent="0.25">
      <c r="A51" s="138">
        <v>5.0999999999999996</v>
      </c>
      <c r="B51" s="165" t="s">
        <v>404</v>
      </c>
      <c r="C51" s="110">
        <v>7492050</v>
      </c>
      <c r="D51" s="43" t="s">
        <v>27</v>
      </c>
      <c r="E51" s="43"/>
      <c r="F51" s="110">
        <v>796</v>
      </c>
      <c r="G51" s="81" t="s">
        <v>17</v>
      </c>
      <c r="H51" s="129">
        <v>1</v>
      </c>
      <c r="I51" s="151">
        <v>98241501</v>
      </c>
      <c r="J51" s="24" t="s">
        <v>456</v>
      </c>
      <c r="K51" s="27">
        <v>70000</v>
      </c>
      <c r="L51" s="27"/>
      <c r="M51" s="27"/>
      <c r="N51" s="27"/>
      <c r="O51" s="27"/>
      <c r="P51" s="24">
        <v>1</v>
      </c>
      <c r="Q51" s="27">
        <v>70000</v>
      </c>
      <c r="R51" s="83"/>
      <c r="S51" s="83"/>
      <c r="T51" s="83"/>
      <c r="U51" s="83"/>
      <c r="V51" s="83"/>
      <c r="W51" s="83"/>
      <c r="X51" s="167"/>
      <c r="Y51" s="168"/>
      <c r="Z51" s="168"/>
      <c r="AA51" s="168"/>
      <c r="AB51" s="168"/>
      <c r="AC51" s="168"/>
      <c r="AD51" s="168"/>
      <c r="AE51" s="168"/>
    </row>
    <row r="52" spans="1:256" s="141" customFormat="1" ht="30" x14ac:dyDescent="0.25">
      <c r="A52" s="138">
        <v>5.2</v>
      </c>
      <c r="B52" s="165" t="s">
        <v>404</v>
      </c>
      <c r="C52" s="110">
        <v>7492050</v>
      </c>
      <c r="D52" s="173" t="s">
        <v>28</v>
      </c>
      <c r="E52" s="173"/>
      <c r="F52" s="110">
        <v>796</v>
      </c>
      <c r="G52" s="81" t="s">
        <v>17</v>
      </c>
      <c r="H52" s="129">
        <v>1</v>
      </c>
      <c r="I52" s="151">
        <v>98204</v>
      </c>
      <c r="J52" s="83" t="s">
        <v>431</v>
      </c>
      <c r="K52" s="27">
        <v>70000</v>
      </c>
      <c r="L52" s="27"/>
      <c r="M52" s="27"/>
      <c r="N52" s="27"/>
      <c r="O52" s="27"/>
      <c r="P52" s="24"/>
      <c r="Q52" s="27"/>
      <c r="R52" s="83"/>
      <c r="S52" s="83"/>
      <c r="T52" s="83"/>
      <c r="U52" s="83"/>
      <c r="V52" s="83"/>
      <c r="W52" s="83">
        <v>70000</v>
      </c>
      <c r="X52" s="167"/>
      <c r="Y52" s="168"/>
      <c r="Z52" s="168"/>
      <c r="AA52" s="168"/>
      <c r="AB52" s="168"/>
      <c r="AC52" s="168"/>
      <c r="AD52" s="168"/>
      <c r="AE52" s="168"/>
    </row>
    <row r="53" spans="1:256" s="141" customFormat="1" x14ac:dyDescent="0.25">
      <c r="A53" s="138">
        <v>5.3</v>
      </c>
      <c r="B53" s="165" t="s">
        <v>404</v>
      </c>
      <c r="C53" s="110">
        <v>7492050</v>
      </c>
      <c r="D53" s="173" t="s">
        <v>29</v>
      </c>
      <c r="E53" s="173"/>
      <c r="F53" s="110">
        <v>796</v>
      </c>
      <c r="G53" s="81" t="s">
        <v>17</v>
      </c>
      <c r="H53" s="129">
        <v>1</v>
      </c>
      <c r="I53" s="151">
        <v>98254551</v>
      </c>
      <c r="J53" s="24" t="s">
        <v>442</v>
      </c>
      <c r="K53" s="27">
        <v>100000</v>
      </c>
      <c r="L53" s="27"/>
      <c r="M53" s="27"/>
      <c r="N53" s="27"/>
      <c r="O53" s="27"/>
      <c r="P53" s="24"/>
      <c r="Q53" s="27"/>
      <c r="R53" s="83"/>
      <c r="S53" s="83"/>
      <c r="T53" s="83"/>
      <c r="U53" s="83"/>
      <c r="V53" s="83"/>
      <c r="W53" s="83">
        <v>100000</v>
      </c>
      <c r="X53" s="167"/>
      <c r="Y53" s="168"/>
      <c r="Z53" s="168"/>
      <c r="AA53" s="168"/>
      <c r="AB53" s="168"/>
      <c r="AC53" s="168"/>
      <c r="AD53" s="168"/>
      <c r="AE53" s="168"/>
    </row>
    <row r="54" spans="1:256" s="141" customFormat="1" x14ac:dyDescent="0.25">
      <c r="A54" s="138">
        <v>5.4</v>
      </c>
      <c r="B54" s="165" t="s">
        <v>404</v>
      </c>
      <c r="C54" s="110">
        <v>7492050</v>
      </c>
      <c r="D54" s="173" t="s">
        <v>30</v>
      </c>
      <c r="E54" s="173"/>
      <c r="F54" s="110">
        <v>796</v>
      </c>
      <c r="G54" s="81" t="s">
        <v>17</v>
      </c>
      <c r="H54" s="129">
        <v>1</v>
      </c>
      <c r="I54" s="151">
        <v>98229</v>
      </c>
      <c r="J54" s="174" t="s">
        <v>439</v>
      </c>
      <c r="K54" s="27">
        <v>70000</v>
      </c>
      <c r="L54" s="27"/>
      <c r="M54" s="27"/>
      <c r="N54" s="27"/>
      <c r="O54" s="27"/>
      <c r="P54" s="24"/>
      <c r="Q54" s="27"/>
      <c r="R54" s="83"/>
      <c r="S54" s="83"/>
      <c r="T54" s="83"/>
      <c r="U54" s="83"/>
      <c r="V54" s="83"/>
      <c r="W54" s="83">
        <v>70000</v>
      </c>
      <c r="X54" s="167"/>
      <c r="Y54" s="168"/>
      <c r="Z54" s="168"/>
      <c r="AA54" s="168"/>
      <c r="AB54" s="168"/>
      <c r="AC54" s="168"/>
      <c r="AD54" s="168"/>
      <c r="AE54" s="168"/>
    </row>
    <row r="55" spans="1:256" s="141" customFormat="1" x14ac:dyDescent="0.25">
      <c r="A55" s="138">
        <v>5.5</v>
      </c>
      <c r="B55" s="165" t="s">
        <v>404</v>
      </c>
      <c r="C55" s="110">
        <v>7492050</v>
      </c>
      <c r="D55" s="173" t="s">
        <v>40</v>
      </c>
      <c r="E55" s="173"/>
      <c r="F55" s="110">
        <v>796</v>
      </c>
      <c r="G55" s="81" t="s">
        <v>17</v>
      </c>
      <c r="H55" s="129">
        <v>1</v>
      </c>
      <c r="I55" s="151">
        <v>98227501</v>
      </c>
      <c r="J55" s="24" t="s">
        <v>430</v>
      </c>
      <c r="K55" s="27">
        <v>180000</v>
      </c>
      <c r="L55" s="27"/>
      <c r="M55" s="27"/>
      <c r="N55" s="27"/>
      <c r="O55" s="27"/>
      <c r="P55" s="24"/>
      <c r="Q55" s="27"/>
      <c r="R55" s="83"/>
      <c r="S55" s="83"/>
      <c r="T55" s="83"/>
      <c r="U55" s="83">
        <v>54000</v>
      </c>
      <c r="V55" s="83"/>
      <c r="W55" s="83">
        <v>126000</v>
      </c>
      <c r="X55" s="167"/>
      <c r="Y55" s="168"/>
      <c r="Z55" s="168"/>
      <c r="AA55" s="168"/>
      <c r="AB55" s="168"/>
      <c r="AC55" s="168"/>
      <c r="AD55" s="168"/>
      <c r="AE55" s="168"/>
    </row>
    <row r="56" spans="1:256" s="164" customFormat="1" ht="28.5" x14ac:dyDescent="0.2">
      <c r="A56" s="140">
        <v>6</v>
      </c>
      <c r="B56" s="156" t="s">
        <v>405</v>
      </c>
      <c r="C56" s="157">
        <v>7250010</v>
      </c>
      <c r="D56" s="158" t="s">
        <v>41</v>
      </c>
      <c r="E56" s="158"/>
      <c r="F56" s="159">
        <v>796</v>
      </c>
      <c r="G56" s="160" t="s">
        <v>17</v>
      </c>
      <c r="H56" s="160">
        <v>700</v>
      </c>
      <c r="I56" s="161">
        <v>98401</v>
      </c>
      <c r="J56" s="162" t="s">
        <v>429</v>
      </c>
      <c r="K56" s="162">
        <v>1280000</v>
      </c>
      <c r="L56" s="162"/>
      <c r="M56" s="162"/>
      <c r="N56" s="162"/>
      <c r="O56" s="162"/>
      <c r="P56" s="162">
        <v>550</v>
      </c>
      <c r="Q56" s="162">
        <v>1070000</v>
      </c>
      <c r="R56" s="162">
        <v>50</v>
      </c>
      <c r="S56" s="162">
        <v>70000</v>
      </c>
      <c r="T56" s="162">
        <v>50</v>
      </c>
      <c r="U56" s="162">
        <v>70000</v>
      </c>
      <c r="V56" s="162">
        <v>50</v>
      </c>
      <c r="W56" s="162">
        <v>70000</v>
      </c>
      <c r="X56" s="163"/>
      <c r="Y56" s="140"/>
      <c r="Z56" s="156"/>
      <c r="AA56" s="157"/>
      <c r="AB56" s="158"/>
      <c r="AC56" s="158"/>
      <c r="AD56" s="159"/>
      <c r="AE56" s="160"/>
      <c r="AF56" s="160"/>
      <c r="AG56" s="162"/>
      <c r="AH56" s="162"/>
      <c r="AI56" s="162"/>
      <c r="AJ56" s="162"/>
      <c r="AK56" s="162"/>
      <c r="AL56" s="162"/>
      <c r="AM56" s="162"/>
      <c r="AN56" s="162"/>
      <c r="AO56" s="162"/>
      <c r="AP56" s="162"/>
      <c r="AQ56" s="162"/>
      <c r="AR56" s="162"/>
      <c r="AS56" s="162"/>
      <c r="AT56" s="162"/>
      <c r="AU56" s="162"/>
      <c r="AV56" s="163"/>
      <c r="AW56" s="140"/>
      <c r="AX56" s="156"/>
      <c r="AY56" s="157"/>
      <c r="AZ56" s="158"/>
      <c r="BA56" s="158"/>
      <c r="BB56" s="159"/>
      <c r="BC56" s="160"/>
      <c r="BD56" s="160"/>
      <c r="BE56" s="162"/>
      <c r="BF56" s="162"/>
      <c r="BG56" s="162"/>
      <c r="BH56" s="162"/>
      <c r="BI56" s="162"/>
      <c r="BJ56" s="162"/>
      <c r="BK56" s="162"/>
      <c r="BL56" s="162"/>
      <c r="BM56" s="162"/>
      <c r="BN56" s="162"/>
      <c r="BO56" s="162"/>
      <c r="BP56" s="162"/>
      <c r="BQ56" s="162"/>
      <c r="BR56" s="162"/>
      <c r="BS56" s="162"/>
      <c r="BT56" s="163"/>
      <c r="BU56" s="140"/>
      <c r="BV56" s="156"/>
      <c r="BW56" s="157"/>
      <c r="BX56" s="158"/>
      <c r="BY56" s="158"/>
      <c r="BZ56" s="159"/>
      <c r="CA56" s="160"/>
      <c r="CB56" s="160"/>
      <c r="CC56" s="162"/>
      <c r="CD56" s="162"/>
      <c r="CE56" s="162"/>
      <c r="CF56" s="162"/>
      <c r="CG56" s="162"/>
      <c r="CH56" s="162"/>
      <c r="CI56" s="162"/>
      <c r="CJ56" s="162"/>
      <c r="CK56" s="162"/>
      <c r="CL56" s="162"/>
      <c r="CM56" s="162"/>
      <c r="CN56" s="162"/>
      <c r="CO56" s="162"/>
      <c r="CP56" s="162"/>
      <c r="CQ56" s="162"/>
      <c r="CR56" s="163"/>
      <c r="CS56" s="140"/>
      <c r="CT56" s="156"/>
      <c r="CU56" s="157"/>
      <c r="CV56" s="158"/>
      <c r="CW56" s="158"/>
      <c r="CX56" s="159"/>
      <c r="CY56" s="160"/>
      <c r="CZ56" s="160"/>
      <c r="DA56" s="162"/>
      <c r="DB56" s="162"/>
      <c r="DC56" s="162"/>
      <c r="DD56" s="162"/>
      <c r="DE56" s="162"/>
      <c r="DF56" s="162"/>
      <c r="DG56" s="162"/>
      <c r="DH56" s="162"/>
      <c r="DI56" s="162"/>
      <c r="DJ56" s="162"/>
      <c r="DK56" s="162"/>
      <c r="DL56" s="162"/>
      <c r="DM56" s="162"/>
      <c r="DN56" s="162"/>
      <c r="DO56" s="162"/>
      <c r="DP56" s="163"/>
      <c r="DQ56" s="140"/>
      <c r="DR56" s="156"/>
      <c r="DS56" s="157"/>
      <c r="DT56" s="158"/>
      <c r="DU56" s="158"/>
      <c r="DV56" s="159"/>
      <c r="DW56" s="160"/>
      <c r="DX56" s="160"/>
      <c r="DY56" s="162"/>
      <c r="DZ56" s="162"/>
      <c r="EA56" s="162"/>
      <c r="EB56" s="162"/>
      <c r="EC56" s="162"/>
      <c r="ED56" s="162"/>
      <c r="EE56" s="162"/>
      <c r="EF56" s="162"/>
      <c r="EG56" s="162"/>
      <c r="EH56" s="162"/>
      <c r="EI56" s="162"/>
      <c r="EJ56" s="162"/>
      <c r="EK56" s="162"/>
      <c r="EL56" s="162"/>
      <c r="EM56" s="162"/>
      <c r="EN56" s="163"/>
      <c r="EO56" s="140"/>
      <c r="EP56" s="156"/>
      <c r="EQ56" s="157"/>
      <c r="ER56" s="158"/>
      <c r="ES56" s="158"/>
      <c r="ET56" s="159"/>
      <c r="EU56" s="160"/>
      <c r="EV56" s="160"/>
      <c r="EW56" s="162"/>
      <c r="EX56" s="162"/>
      <c r="EY56" s="162"/>
      <c r="EZ56" s="162"/>
      <c r="FA56" s="162"/>
      <c r="FB56" s="162"/>
      <c r="FC56" s="162"/>
      <c r="FD56" s="162"/>
      <c r="FE56" s="162"/>
      <c r="FF56" s="162"/>
      <c r="FG56" s="162"/>
      <c r="FH56" s="162"/>
      <c r="FI56" s="162"/>
      <c r="FJ56" s="162"/>
      <c r="FK56" s="162"/>
      <c r="FL56" s="163"/>
      <c r="FM56" s="140"/>
      <c r="FN56" s="156"/>
      <c r="FO56" s="157"/>
      <c r="FP56" s="158"/>
      <c r="FQ56" s="158"/>
      <c r="FR56" s="159"/>
      <c r="FS56" s="160"/>
      <c r="FT56" s="160"/>
      <c r="FU56" s="162"/>
      <c r="FV56" s="162"/>
      <c r="FW56" s="162"/>
      <c r="FX56" s="162"/>
      <c r="FY56" s="162"/>
      <c r="FZ56" s="162"/>
      <c r="GA56" s="162"/>
      <c r="GB56" s="162"/>
      <c r="GC56" s="162"/>
      <c r="GD56" s="162"/>
      <c r="GE56" s="162"/>
      <c r="GF56" s="162"/>
      <c r="GG56" s="162"/>
      <c r="GH56" s="162"/>
      <c r="GI56" s="162"/>
      <c r="GJ56" s="163"/>
      <c r="GK56" s="140"/>
      <c r="GL56" s="156"/>
      <c r="GM56" s="157"/>
      <c r="GN56" s="158"/>
      <c r="GO56" s="158"/>
      <c r="GP56" s="159"/>
      <c r="GQ56" s="160"/>
      <c r="GR56" s="160"/>
      <c r="GS56" s="162"/>
      <c r="GT56" s="162"/>
      <c r="GU56" s="162"/>
      <c r="GV56" s="162"/>
      <c r="GW56" s="162"/>
      <c r="GX56" s="162"/>
      <c r="GY56" s="162"/>
      <c r="GZ56" s="162"/>
      <c r="HA56" s="162"/>
      <c r="HB56" s="162"/>
      <c r="HC56" s="162"/>
      <c r="HD56" s="162"/>
      <c r="HE56" s="162"/>
      <c r="HF56" s="162"/>
      <c r="HG56" s="162"/>
      <c r="HH56" s="163"/>
      <c r="HI56" s="140"/>
      <c r="HJ56" s="156"/>
      <c r="HK56" s="157"/>
      <c r="HL56" s="158"/>
      <c r="HM56" s="158"/>
      <c r="HN56" s="159"/>
      <c r="HO56" s="160"/>
      <c r="HP56" s="160"/>
      <c r="HQ56" s="162"/>
      <c r="HR56" s="162"/>
      <c r="HS56" s="162"/>
      <c r="HT56" s="162"/>
      <c r="HU56" s="162"/>
      <c r="HV56" s="162"/>
      <c r="HW56" s="162"/>
      <c r="HX56" s="162"/>
      <c r="HY56" s="162"/>
      <c r="HZ56" s="162"/>
      <c r="IA56" s="162"/>
      <c r="IB56" s="162"/>
      <c r="IC56" s="162"/>
      <c r="ID56" s="162"/>
      <c r="IE56" s="162"/>
      <c r="IF56" s="163"/>
      <c r="IG56" s="140"/>
      <c r="IH56" s="156"/>
      <c r="II56" s="157"/>
      <c r="IJ56" s="158"/>
      <c r="IK56" s="158"/>
      <c r="IL56" s="159"/>
      <c r="IM56" s="160"/>
      <c r="IN56" s="160"/>
      <c r="IO56" s="162"/>
      <c r="IP56" s="162"/>
      <c r="IQ56" s="162"/>
      <c r="IR56" s="162"/>
      <c r="IS56" s="162"/>
      <c r="IT56" s="162"/>
      <c r="IU56" s="162"/>
      <c r="IV56" s="162"/>
    </row>
    <row r="57" spans="1:256" s="164" customFormat="1" ht="14.25" x14ac:dyDescent="0.2">
      <c r="A57" s="140">
        <v>7</v>
      </c>
      <c r="B57" s="156"/>
      <c r="C57" s="157"/>
      <c r="D57" s="158" t="s">
        <v>42</v>
      </c>
      <c r="E57" s="158"/>
      <c r="F57" s="159"/>
      <c r="G57" s="160"/>
      <c r="H57" s="160"/>
      <c r="I57" s="161"/>
      <c r="J57" s="162"/>
      <c r="K57" s="162"/>
      <c r="L57" s="162"/>
      <c r="M57" s="162"/>
      <c r="N57" s="162"/>
      <c r="O57" s="162"/>
      <c r="P57" s="162"/>
      <c r="Q57" s="162"/>
      <c r="R57" s="162"/>
      <c r="S57" s="162"/>
      <c r="T57" s="162"/>
      <c r="U57" s="162"/>
      <c r="V57" s="162"/>
      <c r="W57" s="162"/>
      <c r="X57" s="163"/>
      <c r="Y57" s="140"/>
      <c r="Z57" s="156"/>
      <c r="AA57" s="157"/>
      <c r="AB57" s="158"/>
      <c r="AC57" s="158"/>
      <c r="AD57" s="159"/>
      <c r="AE57" s="160"/>
      <c r="AF57" s="160"/>
      <c r="AG57" s="162"/>
      <c r="AH57" s="162"/>
      <c r="AI57" s="162"/>
      <c r="AJ57" s="162"/>
      <c r="AK57" s="162"/>
      <c r="AL57" s="162"/>
      <c r="AM57" s="162"/>
      <c r="AN57" s="162"/>
      <c r="AO57" s="162"/>
      <c r="AP57" s="162"/>
      <c r="AQ57" s="162"/>
      <c r="AR57" s="162"/>
      <c r="AS57" s="162"/>
      <c r="AT57" s="162"/>
      <c r="AU57" s="162"/>
      <c r="AV57" s="163"/>
      <c r="AW57" s="140"/>
      <c r="AX57" s="156"/>
      <c r="AY57" s="157"/>
      <c r="AZ57" s="158"/>
      <c r="BA57" s="158"/>
      <c r="BB57" s="159"/>
      <c r="BC57" s="160"/>
      <c r="BD57" s="160"/>
      <c r="BE57" s="162"/>
      <c r="BF57" s="162"/>
      <c r="BG57" s="162"/>
      <c r="BH57" s="162"/>
      <c r="BI57" s="162"/>
      <c r="BJ57" s="162"/>
      <c r="BK57" s="162"/>
      <c r="BL57" s="162"/>
      <c r="BM57" s="162"/>
      <c r="BN57" s="162"/>
      <c r="BO57" s="162"/>
      <c r="BP57" s="162"/>
      <c r="BQ57" s="162"/>
      <c r="BR57" s="162"/>
      <c r="BS57" s="162"/>
      <c r="BT57" s="163"/>
      <c r="BU57" s="140"/>
      <c r="BV57" s="156"/>
      <c r="BW57" s="157"/>
      <c r="BX57" s="158"/>
      <c r="BY57" s="158"/>
      <c r="BZ57" s="159"/>
      <c r="CA57" s="160"/>
      <c r="CB57" s="160"/>
      <c r="CC57" s="162"/>
      <c r="CD57" s="162"/>
      <c r="CE57" s="162"/>
      <c r="CF57" s="162"/>
      <c r="CG57" s="162"/>
      <c r="CH57" s="162"/>
      <c r="CI57" s="162"/>
      <c r="CJ57" s="162"/>
      <c r="CK57" s="162"/>
      <c r="CL57" s="162"/>
      <c r="CM57" s="162"/>
      <c r="CN57" s="162"/>
      <c r="CO57" s="162"/>
      <c r="CP57" s="162"/>
      <c r="CQ57" s="162"/>
      <c r="CR57" s="163"/>
      <c r="CS57" s="140"/>
      <c r="CT57" s="156"/>
      <c r="CU57" s="157"/>
      <c r="CV57" s="158"/>
      <c r="CW57" s="158"/>
      <c r="CX57" s="159"/>
      <c r="CY57" s="160"/>
      <c r="CZ57" s="160"/>
      <c r="DA57" s="162"/>
      <c r="DB57" s="162"/>
      <c r="DC57" s="162"/>
      <c r="DD57" s="162"/>
      <c r="DE57" s="162"/>
      <c r="DF57" s="162"/>
      <c r="DG57" s="162"/>
      <c r="DH57" s="162"/>
      <c r="DI57" s="162"/>
      <c r="DJ57" s="162"/>
      <c r="DK57" s="162"/>
      <c r="DL57" s="162"/>
      <c r="DM57" s="162"/>
      <c r="DN57" s="162"/>
      <c r="DO57" s="162"/>
      <c r="DP57" s="163"/>
      <c r="DQ57" s="140"/>
      <c r="DR57" s="156"/>
      <c r="DS57" s="157"/>
      <c r="DT57" s="158"/>
      <c r="DU57" s="158"/>
      <c r="DV57" s="159"/>
      <c r="DW57" s="160"/>
      <c r="DX57" s="160"/>
      <c r="DY57" s="162"/>
      <c r="DZ57" s="162"/>
      <c r="EA57" s="162"/>
      <c r="EB57" s="162"/>
      <c r="EC57" s="162"/>
      <c r="ED57" s="162"/>
      <c r="EE57" s="162"/>
      <c r="EF57" s="162"/>
      <c r="EG57" s="162"/>
      <c r="EH57" s="162"/>
      <c r="EI57" s="162"/>
      <c r="EJ57" s="162"/>
      <c r="EK57" s="162"/>
      <c r="EL57" s="162"/>
      <c r="EM57" s="162"/>
      <c r="EN57" s="163"/>
      <c r="EO57" s="140"/>
      <c r="EP57" s="156"/>
      <c r="EQ57" s="157"/>
      <c r="ER57" s="158"/>
      <c r="ES57" s="158"/>
      <c r="ET57" s="159"/>
      <c r="EU57" s="160"/>
      <c r="EV57" s="160"/>
      <c r="EW57" s="162"/>
      <c r="EX57" s="162"/>
      <c r="EY57" s="162"/>
      <c r="EZ57" s="162"/>
      <c r="FA57" s="162"/>
      <c r="FB57" s="162"/>
      <c r="FC57" s="162"/>
      <c r="FD57" s="162"/>
      <c r="FE57" s="162"/>
      <c r="FF57" s="162"/>
      <c r="FG57" s="162"/>
      <c r="FH57" s="162"/>
      <c r="FI57" s="162"/>
      <c r="FJ57" s="162"/>
      <c r="FK57" s="162"/>
      <c r="FL57" s="163"/>
      <c r="FM57" s="140"/>
      <c r="FN57" s="156"/>
      <c r="FO57" s="157"/>
      <c r="FP57" s="158"/>
      <c r="FQ57" s="158"/>
      <c r="FR57" s="159"/>
      <c r="FS57" s="160"/>
      <c r="FT57" s="160"/>
      <c r="FU57" s="162"/>
      <c r="FV57" s="162"/>
      <c r="FW57" s="162"/>
      <c r="FX57" s="162"/>
      <c r="FY57" s="162"/>
      <c r="FZ57" s="162"/>
      <c r="GA57" s="162"/>
      <c r="GB57" s="162"/>
      <c r="GC57" s="162"/>
      <c r="GD57" s="162"/>
      <c r="GE57" s="162"/>
      <c r="GF57" s="162"/>
      <c r="GG57" s="162"/>
      <c r="GH57" s="162"/>
      <c r="GI57" s="162"/>
      <c r="GJ57" s="163"/>
      <c r="GK57" s="140"/>
      <c r="GL57" s="156"/>
      <c r="GM57" s="157"/>
      <c r="GN57" s="158"/>
      <c r="GO57" s="158"/>
      <c r="GP57" s="159"/>
      <c r="GQ57" s="160"/>
      <c r="GR57" s="160"/>
      <c r="GS57" s="162"/>
      <c r="GT57" s="162"/>
      <c r="GU57" s="162"/>
      <c r="GV57" s="162"/>
      <c r="GW57" s="162"/>
      <c r="GX57" s="162"/>
      <c r="GY57" s="162"/>
      <c r="GZ57" s="162"/>
      <c r="HA57" s="162"/>
      <c r="HB57" s="162"/>
      <c r="HC57" s="162"/>
      <c r="HD57" s="162"/>
      <c r="HE57" s="162"/>
      <c r="HF57" s="162"/>
      <c r="HG57" s="162"/>
      <c r="HH57" s="163"/>
      <c r="HI57" s="140"/>
      <c r="HJ57" s="156"/>
      <c r="HK57" s="157"/>
      <c r="HL57" s="158"/>
      <c r="HM57" s="158"/>
      <c r="HN57" s="159"/>
      <c r="HO57" s="160"/>
      <c r="HP57" s="160"/>
      <c r="HQ57" s="162"/>
      <c r="HR57" s="162"/>
      <c r="HS57" s="162"/>
      <c r="HT57" s="162"/>
      <c r="HU57" s="162"/>
      <c r="HV57" s="162"/>
      <c r="HW57" s="162"/>
      <c r="HX57" s="162"/>
      <c r="HY57" s="162"/>
      <c r="HZ57" s="162"/>
      <c r="IA57" s="162"/>
      <c r="IB57" s="162"/>
      <c r="IC57" s="162"/>
      <c r="ID57" s="162"/>
      <c r="IE57" s="162"/>
      <c r="IF57" s="163"/>
      <c r="IG57" s="140"/>
      <c r="IH57" s="156"/>
      <c r="II57" s="157"/>
      <c r="IJ57" s="158"/>
      <c r="IK57" s="158"/>
      <c r="IL57" s="159"/>
      <c r="IM57" s="160"/>
      <c r="IN57" s="160"/>
      <c r="IO57" s="162"/>
      <c r="IP57" s="162"/>
      <c r="IQ57" s="162"/>
      <c r="IR57" s="162"/>
      <c r="IS57" s="162"/>
      <c r="IT57" s="162"/>
      <c r="IU57" s="162"/>
      <c r="IV57" s="162"/>
    </row>
    <row r="58" spans="1:256" s="141" customFormat="1" ht="30" x14ac:dyDescent="0.25">
      <c r="A58" s="138">
        <v>7.1</v>
      </c>
      <c r="B58" s="165" t="s">
        <v>421</v>
      </c>
      <c r="C58" s="110">
        <v>4520080</v>
      </c>
      <c r="D58" s="80" t="s">
        <v>43</v>
      </c>
      <c r="E58" s="80"/>
      <c r="F58" s="110">
        <v>796</v>
      </c>
      <c r="G58" s="81" t="s">
        <v>17</v>
      </c>
      <c r="H58" s="81">
        <v>1</v>
      </c>
      <c r="I58" s="151">
        <v>98227</v>
      </c>
      <c r="J58" s="24" t="s">
        <v>430</v>
      </c>
      <c r="K58" s="83">
        <v>2668442</v>
      </c>
      <c r="L58" s="83"/>
      <c r="M58" s="83"/>
      <c r="N58" s="83"/>
      <c r="O58" s="83"/>
      <c r="P58" s="83"/>
      <c r="Q58" s="83"/>
      <c r="R58" s="83"/>
      <c r="S58" s="83"/>
      <c r="T58" s="83">
        <v>1</v>
      </c>
      <c r="U58" s="83">
        <v>200000</v>
      </c>
      <c r="V58" s="83">
        <v>1</v>
      </c>
      <c r="W58" s="83">
        <v>2468442</v>
      </c>
      <c r="X58" s="167"/>
      <c r="Y58" s="168"/>
      <c r="Z58" s="168"/>
      <c r="AA58" s="168"/>
      <c r="AB58" s="168"/>
      <c r="AC58" s="168"/>
      <c r="AD58" s="168"/>
      <c r="AE58" s="168"/>
    </row>
    <row r="59" spans="1:256" s="141" customFormat="1" ht="30" x14ac:dyDescent="0.25">
      <c r="A59" s="138">
        <v>7.2</v>
      </c>
      <c r="B59" s="186" t="s">
        <v>421</v>
      </c>
      <c r="C59" s="11">
        <v>4520080</v>
      </c>
      <c r="D59" s="80" t="s">
        <v>333</v>
      </c>
      <c r="E59" s="80"/>
      <c r="F59" s="110">
        <v>796</v>
      </c>
      <c r="G59" s="81" t="s">
        <v>17</v>
      </c>
      <c r="H59" s="81">
        <v>43</v>
      </c>
      <c r="I59" s="151">
        <v>98401</v>
      </c>
      <c r="J59" s="83" t="s">
        <v>429</v>
      </c>
      <c r="K59" s="83">
        <v>840000</v>
      </c>
      <c r="L59" s="83"/>
      <c r="M59" s="83"/>
      <c r="N59" s="83"/>
      <c r="O59" s="83"/>
      <c r="P59" s="83"/>
      <c r="Q59" s="83"/>
      <c r="R59" s="83"/>
      <c r="S59" s="83"/>
      <c r="T59" s="83">
        <v>43</v>
      </c>
      <c r="U59" s="26">
        <v>840000</v>
      </c>
      <c r="V59" s="83"/>
      <c r="W59" s="83"/>
      <c r="X59" s="167"/>
      <c r="Y59" s="168"/>
      <c r="Z59" s="168"/>
      <c r="AA59" s="168"/>
      <c r="AB59" s="168"/>
      <c r="AC59" s="168"/>
      <c r="AD59" s="168"/>
      <c r="AE59" s="168"/>
    </row>
    <row r="60" spans="1:256" s="141" customFormat="1" x14ac:dyDescent="0.25">
      <c r="A60" s="138">
        <v>7.3</v>
      </c>
      <c r="B60" s="165" t="s">
        <v>406</v>
      </c>
      <c r="C60" s="110"/>
      <c r="D60" s="80" t="s">
        <v>44</v>
      </c>
      <c r="E60" s="80"/>
      <c r="F60" s="110">
        <v>796</v>
      </c>
      <c r="G60" s="81" t="s">
        <v>17</v>
      </c>
      <c r="H60" s="81">
        <v>1</v>
      </c>
      <c r="I60" s="151">
        <v>98401</v>
      </c>
      <c r="J60" s="83" t="s">
        <v>429</v>
      </c>
      <c r="K60" s="83">
        <v>50000</v>
      </c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>
        <v>1</v>
      </c>
      <c r="W60" s="83">
        <v>50000</v>
      </c>
      <c r="X60" s="167"/>
      <c r="Y60" s="168"/>
      <c r="Z60" s="168"/>
      <c r="AA60" s="168"/>
      <c r="AB60" s="168"/>
      <c r="AC60" s="168"/>
      <c r="AD60" s="168"/>
      <c r="AE60" s="168"/>
    </row>
    <row r="61" spans="1:256" s="168" customFormat="1" ht="30" x14ac:dyDescent="0.25">
      <c r="A61" s="138">
        <v>7.4</v>
      </c>
      <c r="B61" s="186" t="s">
        <v>421</v>
      </c>
      <c r="C61" s="11">
        <v>4520080</v>
      </c>
      <c r="D61" s="43" t="s">
        <v>45</v>
      </c>
      <c r="E61" s="43"/>
      <c r="F61" s="110">
        <v>796</v>
      </c>
      <c r="G61" s="81" t="s">
        <v>17</v>
      </c>
      <c r="H61" s="81">
        <v>1</v>
      </c>
      <c r="I61" s="151">
        <v>98204</v>
      </c>
      <c r="J61" s="83" t="s">
        <v>431</v>
      </c>
      <c r="K61" s="24">
        <v>200000</v>
      </c>
      <c r="L61" s="24"/>
      <c r="M61" s="24"/>
      <c r="N61" s="24"/>
      <c r="O61" s="24"/>
      <c r="P61" s="83"/>
      <c r="Q61" s="83"/>
      <c r="R61" s="83"/>
      <c r="S61" s="83"/>
      <c r="T61" s="83">
        <v>1</v>
      </c>
      <c r="U61" s="83">
        <v>200000</v>
      </c>
      <c r="V61" s="83"/>
      <c r="W61" s="83"/>
      <c r="X61" s="167"/>
    </row>
    <row r="62" spans="1:256" s="168" customFormat="1" x14ac:dyDescent="0.25">
      <c r="A62" s="138">
        <v>7.5</v>
      </c>
      <c r="B62" s="186" t="s">
        <v>421</v>
      </c>
      <c r="C62" s="11">
        <v>4520080</v>
      </c>
      <c r="D62" s="43" t="s">
        <v>46</v>
      </c>
      <c r="E62" s="43"/>
      <c r="F62" s="110">
        <v>796</v>
      </c>
      <c r="G62" s="81" t="s">
        <v>17</v>
      </c>
      <c r="H62" s="81">
        <v>1</v>
      </c>
      <c r="I62" s="151">
        <v>98401</v>
      </c>
      <c r="J62" s="83" t="s">
        <v>429</v>
      </c>
      <c r="K62" s="24">
        <v>126277</v>
      </c>
      <c r="L62" s="24"/>
      <c r="M62" s="24"/>
      <c r="N62" s="24"/>
      <c r="O62" s="24"/>
      <c r="P62" s="83"/>
      <c r="Q62" s="83"/>
      <c r="R62" s="83"/>
      <c r="S62" s="83"/>
      <c r="T62" s="83">
        <v>1</v>
      </c>
      <c r="U62" s="83">
        <v>126277.49</v>
      </c>
      <c r="V62" s="83"/>
      <c r="W62" s="83"/>
      <c r="X62" s="167"/>
    </row>
    <row r="63" spans="1:256" s="168" customFormat="1" ht="45" x14ac:dyDescent="0.25">
      <c r="A63" s="138">
        <v>7.6</v>
      </c>
      <c r="B63" s="186" t="s">
        <v>421</v>
      </c>
      <c r="C63" s="11">
        <v>4520080</v>
      </c>
      <c r="D63" s="43" t="s">
        <v>47</v>
      </c>
      <c r="E63" s="43"/>
      <c r="F63" s="110">
        <v>796</v>
      </c>
      <c r="G63" s="81" t="s">
        <v>17</v>
      </c>
      <c r="H63" s="81">
        <v>1</v>
      </c>
      <c r="I63" s="151">
        <v>98258</v>
      </c>
      <c r="J63" s="83" t="s">
        <v>435</v>
      </c>
      <c r="K63" s="24">
        <v>220000</v>
      </c>
      <c r="L63" s="24"/>
      <c r="M63" s="24"/>
      <c r="N63" s="24"/>
      <c r="O63" s="24"/>
      <c r="P63" s="83"/>
      <c r="Q63" s="83"/>
      <c r="R63" s="83"/>
      <c r="S63" s="83"/>
      <c r="T63" s="83"/>
      <c r="U63" s="83"/>
      <c r="V63" s="83">
        <v>1</v>
      </c>
      <c r="W63" s="83">
        <v>220000</v>
      </c>
      <c r="X63" s="167"/>
    </row>
    <row r="64" spans="1:256" s="168" customFormat="1" x14ac:dyDescent="0.25">
      <c r="A64" s="138">
        <v>7.7</v>
      </c>
      <c r="B64" s="186" t="s">
        <v>421</v>
      </c>
      <c r="C64" s="11">
        <v>4520080</v>
      </c>
      <c r="D64" s="43" t="s">
        <v>48</v>
      </c>
      <c r="E64" s="43"/>
      <c r="F64" s="110">
        <v>796</v>
      </c>
      <c r="G64" s="81" t="s">
        <v>17</v>
      </c>
      <c r="H64" s="81">
        <v>1</v>
      </c>
      <c r="I64" s="151">
        <v>98254551</v>
      </c>
      <c r="J64" s="24" t="s">
        <v>442</v>
      </c>
      <c r="K64" s="24">
        <v>40000</v>
      </c>
      <c r="L64" s="24"/>
      <c r="M64" s="24"/>
      <c r="N64" s="24"/>
      <c r="O64" s="24"/>
      <c r="P64" s="83"/>
      <c r="Q64" s="83"/>
      <c r="R64" s="83"/>
      <c r="S64" s="83"/>
      <c r="T64" s="83"/>
      <c r="U64" s="83"/>
      <c r="V64" s="83">
        <v>1</v>
      </c>
      <c r="W64" s="83">
        <v>40000</v>
      </c>
      <c r="X64" s="167"/>
    </row>
    <row r="65" spans="1:256" s="168" customFormat="1" x14ac:dyDescent="0.25">
      <c r="A65" s="138">
        <v>7.8</v>
      </c>
      <c r="B65" s="186" t="s">
        <v>421</v>
      </c>
      <c r="C65" s="11">
        <v>4520080</v>
      </c>
      <c r="D65" s="43" t="s">
        <v>49</v>
      </c>
      <c r="E65" s="43"/>
      <c r="F65" s="110">
        <v>796</v>
      </c>
      <c r="G65" s="81" t="s">
        <v>17</v>
      </c>
      <c r="H65" s="81">
        <v>1</v>
      </c>
      <c r="I65" s="151">
        <v>98401</v>
      </c>
      <c r="J65" s="83" t="s">
        <v>429</v>
      </c>
      <c r="K65" s="24">
        <v>266528</v>
      </c>
      <c r="L65" s="24"/>
      <c r="M65" s="24"/>
      <c r="N65" s="24"/>
      <c r="O65" s="24"/>
      <c r="P65" s="83"/>
      <c r="Q65" s="83"/>
      <c r="R65" s="83"/>
      <c r="S65" s="83"/>
      <c r="T65" s="83">
        <v>1</v>
      </c>
      <c r="U65" s="83">
        <v>66528</v>
      </c>
      <c r="V65" s="83">
        <v>1</v>
      </c>
      <c r="W65" s="83">
        <v>200000</v>
      </c>
      <c r="X65" s="167"/>
    </row>
    <row r="66" spans="1:256" s="168" customFormat="1" x14ac:dyDescent="0.25">
      <c r="A66" s="138">
        <v>7.9</v>
      </c>
      <c r="B66" s="186" t="s">
        <v>421</v>
      </c>
      <c r="C66" s="11">
        <v>4520080</v>
      </c>
      <c r="D66" s="43" t="s">
        <v>50</v>
      </c>
      <c r="E66" s="43"/>
      <c r="F66" s="110">
        <v>796</v>
      </c>
      <c r="G66" s="81" t="s">
        <v>17</v>
      </c>
      <c r="H66" s="81">
        <v>1</v>
      </c>
      <c r="I66" s="151">
        <v>98406</v>
      </c>
      <c r="J66" s="174" t="s">
        <v>441</v>
      </c>
      <c r="K66" s="24">
        <v>240000</v>
      </c>
      <c r="L66" s="24"/>
      <c r="M66" s="24"/>
      <c r="N66" s="24"/>
      <c r="O66" s="24"/>
      <c r="P66" s="83"/>
      <c r="Q66" s="83"/>
      <c r="R66" s="83"/>
      <c r="S66" s="83"/>
      <c r="T66" s="83">
        <v>1</v>
      </c>
      <c r="U66" s="83">
        <v>150000</v>
      </c>
      <c r="V66" s="83">
        <v>1</v>
      </c>
      <c r="W66" s="83">
        <v>90000</v>
      </c>
      <c r="X66" s="167"/>
    </row>
    <row r="67" spans="1:256" s="168" customFormat="1" x14ac:dyDescent="0.25">
      <c r="A67" s="138">
        <v>7.1</v>
      </c>
      <c r="B67" s="186" t="s">
        <v>421</v>
      </c>
      <c r="C67" s="11">
        <v>4520080</v>
      </c>
      <c r="D67" s="43" t="s">
        <v>51</v>
      </c>
      <c r="E67" s="43"/>
      <c r="F67" s="110">
        <v>796</v>
      </c>
      <c r="G67" s="81" t="s">
        <v>17</v>
      </c>
      <c r="H67" s="81">
        <v>1</v>
      </c>
      <c r="I67" s="169">
        <v>98409</v>
      </c>
      <c r="J67" s="83" t="s">
        <v>447</v>
      </c>
      <c r="K67" s="24">
        <v>200000</v>
      </c>
      <c r="L67" s="24"/>
      <c r="M67" s="24"/>
      <c r="N67" s="24"/>
      <c r="O67" s="24"/>
      <c r="P67" s="83"/>
      <c r="Q67" s="83"/>
      <c r="R67" s="83"/>
      <c r="S67" s="83"/>
      <c r="T67" s="83"/>
      <c r="U67" s="83"/>
      <c r="V67" s="83">
        <v>1</v>
      </c>
      <c r="W67" s="83">
        <v>200000</v>
      </c>
      <c r="X67" s="167"/>
    </row>
    <row r="68" spans="1:256" s="168" customFormat="1" x14ac:dyDescent="0.25">
      <c r="A68" s="138">
        <v>7.11</v>
      </c>
      <c r="B68" s="186"/>
      <c r="C68" s="11"/>
      <c r="D68" s="43" t="s">
        <v>353</v>
      </c>
      <c r="E68" s="43"/>
      <c r="F68" s="11">
        <v>362</v>
      </c>
      <c r="G68" s="81" t="s">
        <v>22</v>
      </c>
      <c r="H68" s="81">
        <v>9</v>
      </c>
      <c r="I68" s="151">
        <v>98401</v>
      </c>
      <c r="J68" s="83" t="s">
        <v>429</v>
      </c>
      <c r="K68" s="24">
        <v>225000</v>
      </c>
      <c r="L68" s="24"/>
      <c r="M68" s="24"/>
      <c r="N68" s="24"/>
      <c r="O68" s="24"/>
      <c r="P68" s="83"/>
      <c r="Q68" s="83"/>
      <c r="R68" s="83">
        <v>3</v>
      </c>
      <c r="S68" s="83">
        <v>75000</v>
      </c>
      <c r="T68" s="83">
        <v>3</v>
      </c>
      <c r="U68" s="83">
        <v>75000</v>
      </c>
      <c r="V68" s="83">
        <v>3</v>
      </c>
      <c r="W68" s="83">
        <v>75000</v>
      </c>
      <c r="X68" s="167"/>
    </row>
    <row r="69" spans="1:256" s="168" customFormat="1" x14ac:dyDescent="0.25">
      <c r="A69" s="138">
        <v>7.12</v>
      </c>
      <c r="B69" s="186" t="s">
        <v>421</v>
      </c>
      <c r="C69" s="11">
        <v>4520080</v>
      </c>
      <c r="D69" s="43" t="s">
        <v>360</v>
      </c>
      <c r="E69" s="43"/>
      <c r="F69" s="110">
        <v>796</v>
      </c>
      <c r="G69" s="81" t="s">
        <v>17</v>
      </c>
      <c r="H69" s="81">
        <v>1</v>
      </c>
      <c r="I69" s="151">
        <v>98401</v>
      </c>
      <c r="J69" s="83" t="s">
        <v>429</v>
      </c>
      <c r="K69" s="24">
        <v>2400000</v>
      </c>
      <c r="L69" s="24"/>
      <c r="M69" s="24"/>
      <c r="N69" s="24"/>
      <c r="O69" s="24"/>
      <c r="P69" s="83"/>
      <c r="Q69" s="83"/>
      <c r="R69" s="83"/>
      <c r="S69" s="83"/>
      <c r="T69" s="83">
        <v>1</v>
      </c>
      <c r="U69" s="83">
        <v>400000</v>
      </c>
      <c r="V69" s="83">
        <v>1</v>
      </c>
      <c r="W69" s="83">
        <v>2000000</v>
      </c>
      <c r="X69" s="167"/>
    </row>
    <row r="70" spans="1:256" s="164" customFormat="1" ht="14.25" x14ac:dyDescent="0.2">
      <c r="A70" s="140">
        <v>8</v>
      </c>
      <c r="B70" s="156"/>
      <c r="C70" s="157"/>
      <c r="D70" s="158" t="s">
        <v>52</v>
      </c>
      <c r="E70" s="158"/>
      <c r="F70" s="159"/>
      <c r="G70" s="160"/>
      <c r="H70" s="160"/>
      <c r="I70" s="161"/>
      <c r="J70" s="162"/>
      <c r="K70" s="162"/>
      <c r="L70" s="162"/>
      <c r="M70" s="162"/>
      <c r="N70" s="162"/>
      <c r="O70" s="162"/>
      <c r="P70" s="162"/>
      <c r="Q70" s="162"/>
      <c r="R70" s="162"/>
      <c r="S70" s="162"/>
      <c r="T70" s="162"/>
      <c r="U70" s="162"/>
      <c r="V70" s="162"/>
      <c r="W70" s="162"/>
      <c r="X70" s="163"/>
      <c r="Y70" s="140"/>
      <c r="Z70" s="156"/>
      <c r="AA70" s="157"/>
      <c r="AB70" s="158"/>
      <c r="AC70" s="158"/>
      <c r="AD70" s="159"/>
      <c r="AE70" s="160"/>
      <c r="AF70" s="160"/>
      <c r="AG70" s="162"/>
      <c r="AH70" s="162"/>
      <c r="AI70" s="162"/>
      <c r="AJ70" s="162"/>
      <c r="AK70" s="162"/>
      <c r="AL70" s="162"/>
      <c r="AM70" s="162"/>
      <c r="AN70" s="162"/>
      <c r="AO70" s="162"/>
      <c r="AP70" s="162"/>
      <c r="AQ70" s="162"/>
      <c r="AR70" s="162"/>
      <c r="AS70" s="162"/>
      <c r="AT70" s="162"/>
      <c r="AU70" s="162"/>
      <c r="AV70" s="163"/>
      <c r="AW70" s="140"/>
      <c r="AX70" s="156"/>
      <c r="AY70" s="157"/>
      <c r="AZ70" s="158"/>
      <c r="BA70" s="158"/>
      <c r="BB70" s="159"/>
      <c r="BC70" s="160"/>
      <c r="BD70" s="160"/>
      <c r="BE70" s="162"/>
      <c r="BF70" s="162"/>
      <c r="BG70" s="162"/>
      <c r="BH70" s="162"/>
      <c r="BI70" s="162"/>
      <c r="BJ70" s="162"/>
      <c r="BK70" s="162"/>
      <c r="BL70" s="162"/>
      <c r="BM70" s="162"/>
      <c r="BN70" s="162"/>
      <c r="BO70" s="162"/>
      <c r="BP70" s="162"/>
      <c r="BQ70" s="162"/>
      <c r="BR70" s="162"/>
      <c r="BS70" s="162"/>
      <c r="BT70" s="163"/>
      <c r="BU70" s="140"/>
      <c r="BV70" s="156"/>
      <c r="BW70" s="157"/>
      <c r="BX70" s="158"/>
      <c r="BY70" s="158"/>
      <c r="BZ70" s="159"/>
      <c r="CA70" s="160"/>
      <c r="CB70" s="160"/>
      <c r="CC70" s="162"/>
      <c r="CD70" s="162"/>
      <c r="CE70" s="162"/>
      <c r="CF70" s="162"/>
      <c r="CG70" s="162"/>
      <c r="CH70" s="162"/>
      <c r="CI70" s="162"/>
      <c r="CJ70" s="162"/>
      <c r="CK70" s="162"/>
      <c r="CL70" s="162"/>
      <c r="CM70" s="162"/>
      <c r="CN70" s="162"/>
      <c r="CO70" s="162"/>
      <c r="CP70" s="162"/>
      <c r="CQ70" s="162"/>
      <c r="CR70" s="163"/>
      <c r="CS70" s="140"/>
      <c r="CT70" s="156"/>
      <c r="CU70" s="157"/>
      <c r="CV70" s="158"/>
      <c r="CW70" s="158"/>
      <c r="CX70" s="159"/>
      <c r="CY70" s="160"/>
      <c r="CZ70" s="160"/>
      <c r="DA70" s="162"/>
      <c r="DB70" s="162"/>
      <c r="DC70" s="162"/>
      <c r="DD70" s="162"/>
      <c r="DE70" s="162"/>
      <c r="DF70" s="162"/>
      <c r="DG70" s="162"/>
      <c r="DH70" s="162"/>
      <c r="DI70" s="162"/>
      <c r="DJ70" s="162"/>
      <c r="DK70" s="162"/>
      <c r="DL70" s="162"/>
      <c r="DM70" s="162"/>
      <c r="DN70" s="162"/>
      <c r="DO70" s="162"/>
      <c r="DP70" s="163"/>
      <c r="DQ70" s="140"/>
      <c r="DR70" s="156"/>
      <c r="DS70" s="157"/>
      <c r="DT70" s="158"/>
      <c r="DU70" s="158"/>
      <c r="DV70" s="159"/>
      <c r="DW70" s="160"/>
      <c r="DX70" s="160"/>
      <c r="DY70" s="162"/>
      <c r="DZ70" s="162"/>
      <c r="EA70" s="162"/>
      <c r="EB70" s="162"/>
      <c r="EC70" s="162"/>
      <c r="ED70" s="162"/>
      <c r="EE70" s="162"/>
      <c r="EF70" s="162"/>
      <c r="EG70" s="162"/>
      <c r="EH70" s="162"/>
      <c r="EI70" s="162"/>
      <c r="EJ70" s="162"/>
      <c r="EK70" s="162"/>
      <c r="EL70" s="162"/>
      <c r="EM70" s="162"/>
      <c r="EN70" s="163"/>
      <c r="EO70" s="140"/>
      <c r="EP70" s="156"/>
      <c r="EQ70" s="157"/>
      <c r="ER70" s="158"/>
      <c r="ES70" s="158"/>
      <c r="ET70" s="159"/>
      <c r="EU70" s="160"/>
      <c r="EV70" s="160"/>
      <c r="EW70" s="162"/>
      <c r="EX70" s="162"/>
      <c r="EY70" s="162"/>
      <c r="EZ70" s="162"/>
      <c r="FA70" s="162"/>
      <c r="FB70" s="162"/>
      <c r="FC70" s="162"/>
      <c r="FD70" s="162"/>
      <c r="FE70" s="162"/>
      <c r="FF70" s="162"/>
      <c r="FG70" s="162"/>
      <c r="FH70" s="162"/>
      <c r="FI70" s="162"/>
      <c r="FJ70" s="162"/>
      <c r="FK70" s="162"/>
      <c r="FL70" s="163"/>
      <c r="FM70" s="140"/>
      <c r="FN70" s="156"/>
      <c r="FO70" s="157"/>
      <c r="FP70" s="158"/>
      <c r="FQ70" s="158"/>
      <c r="FR70" s="159"/>
      <c r="FS70" s="160"/>
      <c r="FT70" s="160"/>
      <c r="FU70" s="162"/>
      <c r="FV70" s="162"/>
      <c r="FW70" s="162"/>
      <c r="FX70" s="162"/>
      <c r="FY70" s="162"/>
      <c r="FZ70" s="162"/>
      <c r="GA70" s="162"/>
      <c r="GB70" s="162"/>
      <c r="GC70" s="162"/>
      <c r="GD70" s="162"/>
      <c r="GE70" s="162"/>
      <c r="GF70" s="162"/>
      <c r="GG70" s="162"/>
      <c r="GH70" s="162"/>
      <c r="GI70" s="162"/>
      <c r="GJ70" s="163"/>
      <c r="GK70" s="140"/>
      <c r="GL70" s="156"/>
      <c r="GM70" s="157"/>
      <c r="GN70" s="158"/>
      <c r="GO70" s="158"/>
      <c r="GP70" s="159"/>
      <c r="GQ70" s="160"/>
      <c r="GR70" s="160"/>
      <c r="GS70" s="162"/>
      <c r="GT70" s="162"/>
      <c r="GU70" s="162"/>
      <c r="GV70" s="162"/>
      <c r="GW70" s="162"/>
      <c r="GX70" s="162"/>
      <c r="GY70" s="162"/>
      <c r="GZ70" s="162"/>
      <c r="HA70" s="162"/>
      <c r="HB70" s="162"/>
      <c r="HC70" s="162"/>
      <c r="HD70" s="162"/>
      <c r="HE70" s="162"/>
      <c r="HF70" s="162"/>
      <c r="HG70" s="162"/>
      <c r="HH70" s="163"/>
      <c r="HI70" s="140"/>
      <c r="HJ70" s="156"/>
      <c r="HK70" s="157"/>
      <c r="HL70" s="158"/>
      <c r="HM70" s="158"/>
      <c r="HN70" s="159"/>
      <c r="HO70" s="160"/>
      <c r="HP70" s="160"/>
      <c r="HQ70" s="162"/>
      <c r="HR70" s="162"/>
      <c r="HS70" s="162"/>
      <c r="HT70" s="162"/>
      <c r="HU70" s="162"/>
      <c r="HV70" s="162"/>
      <c r="HW70" s="162"/>
      <c r="HX70" s="162"/>
      <c r="HY70" s="162"/>
      <c r="HZ70" s="162"/>
      <c r="IA70" s="162"/>
      <c r="IB70" s="162"/>
      <c r="IC70" s="162"/>
      <c r="ID70" s="162"/>
      <c r="IE70" s="162"/>
      <c r="IF70" s="163"/>
      <c r="IG70" s="140"/>
      <c r="IH70" s="156"/>
      <c r="II70" s="157"/>
      <c r="IJ70" s="158"/>
      <c r="IK70" s="158"/>
      <c r="IL70" s="159"/>
      <c r="IM70" s="160"/>
      <c r="IN70" s="160"/>
      <c r="IO70" s="162"/>
      <c r="IP70" s="162"/>
      <c r="IQ70" s="162"/>
      <c r="IR70" s="162"/>
      <c r="IS70" s="162"/>
      <c r="IT70" s="162"/>
      <c r="IU70" s="162"/>
      <c r="IV70" s="162"/>
    </row>
    <row r="71" spans="1:256" s="2" customFormat="1" ht="45" x14ac:dyDescent="0.25">
      <c r="A71" s="138">
        <v>8.1</v>
      </c>
      <c r="B71" s="165" t="s">
        <v>422</v>
      </c>
      <c r="C71" s="110">
        <v>7430000</v>
      </c>
      <c r="D71" s="80" t="s">
        <v>53</v>
      </c>
      <c r="E71" s="80"/>
      <c r="F71" s="110">
        <v>796</v>
      </c>
      <c r="G71" s="129" t="s">
        <v>24</v>
      </c>
      <c r="H71" s="129">
        <v>1</v>
      </c>
      <c r="I71" s="151">
        <v>98401</v>
      </c>
      <c r="J71" s="83" t="s">
        <v>429</v>
      </c>
      <c r="K71" s="24">
        <v>40000</v>
      </c>
      <c r="L71" s="24"/>
      <c r="M71" s="24"/>
      <c r="N71" s="24"/>
      <c r="O71" s="24"/>
      <c r="P71" s="24"/>
      <c r="Q71" s="24"/>
      <c r="R71" s="83"/>
      <c r="S71" s="83"/>
      <c r="T71" s="83"/>
      <c r="U71" s="24"/>
      <c r="V71" s="83">
        <v>1</v>
      </c>
      <c r="W71" s="83">
        <v>40000</v>
      </c>
      <c r="X71" s="167"/>
      <c r="Y71" s="44"/>
      <c r="Z71" s="44"/>
      <c r="AA71" s="44"/>
      <c r="AB71" s="44"/>
      <c r="AC71" s="44"/>
      <c r="AD71" s="44"/>
      <c r="AE71" s="44"/>
    </row>
    <row r="72" spans="1:256" s="141" customFormat="1" ht="30" x14ac:dyDescent="0.25">
      <c r="A72" s="138">
        <v>8.1999999999999993</v>
      </c>
      <c r="B72" s="165" t="s">
        <v>422</v>
      </c>
      <c r="C72" s="110">
        <v>7430000</v>
      </c>
      <c r="D72" s="80" t="s">
        <v>54</v>
      </c>
      <c r="E72" s="80"/>
      <c r="F72" s="110">
        <v>796</v>
      </c>
      <c r="G72" s="129" t="s">
        <v>24</v>
      </c>
      <c r="H72" s="129">
        <v>10</v>
      </c>
      <c r="I72" s="151">
        <v>98401</v>
      </c>
      <c r="J72" s="83" t="s">
        <v>429</v>
      </c>
      <c r="K72" s="24">
        <v>5000</v>
      </c>
      <c r="L72" s="24"/>
      <c r="M72" s="24"/>
      <c r="N72" s="24"/>
      <c r="O72" s="24"/>
      <c r="P72" s="83"/>
      <c r="Q72" s="83"/>
      <c r="R72" s="24"/>
      <c r="S72" s="24"/>
      <c r="T72" s="24"/>
      <c r="U72" s="24"/>
      <c r="V72" s="83">
        <v>10</v>
      </c>
      <c r="W72" s="83">
        <v>5000</v>
      </c>
      <c r="X72" s="167"/>
      <c r="Y72" s="168"/>
      <c r="Z72" s="168"/>
      <c r="AA72" s="168"/>
      <c r="AB72" s="168"/>
      <c r="AC72" s="168"/>
      <c r="AD72" s="168"/>
      <c r="AE72" s="168"/>
    </row>
    <row r="73" spans="1:256" s="141" customFormat="1" ht="30" x14ac:dyDescent="0.25">
      <c r="A73" s="138">
        <v>8.3000000000000007</v>
      </c>
      <c r="B73" s="165" t="s">
        <v>422</v>
      </c>
      <c r="C73" s="110">
        <v>7430000</v>
      </c>
      <c r="D73" s="80" t="s">
        <v>55</v>
      </c>
      <c r="E73" s="80"/>
      <c r="F73" s="110">
        <v>796</v>
      </c>
      <c r="G73" s="129" t="s">
        <v>24</v>
      </c>
      <c r="H73" s="129">
        <v>1</v>
      </c>
      <c r="I73" s="151">
        <v>98401</v>
      </c>
      <c r="J73" s="83" t="s">
        <v>429</v>
      </c>
      <c r="K73" s="24">
        <v>76000</v>
      </c>
      <c r="L73" s="24"/>
      <c r="M73" s="24"/>
      <c r="N73" s="24"/>
      <c r="O73" s="24"/>
      <c r="P73" s="83"/>
      <c r="Q73" s="83"/>
      <c r="R73" s="24">
        <v>1</v>
      </c>
      <c r="S73" s="24">
        <v>26000</v>
      </c>
      <c r="T73" s="83"/>
      <c r="U73" s="83"/>
      <c r="V73" s="83">
        <v>1</v>
      </c>
      <c r="W73" s="83">
        <v>50000</v>
      </c>
      <c r="X73" s="167"/>
      <c r="Y73" s="168"/>
      <c r="Z73" s="168"/>
      <c r="AA73" s="168"/>
      <c r="AB73" s="168"/>
      <c r="AC73" s="168"/>
      <c r="AD73" s="168"/>
      <c r="AE73" s="168"/>
    </row>
    <row r="74" spans="1:256" s="141" customFormat="1" ht="30" x14ac:dyDescent="0.25">
      <c r="A74" s="138">
        <v>8.4</v>
      </c>
      <c r="B74" s="165" t="s">
        <v>422</v>
      </c>
      <c r="C74" s="110">
        <v>7430000</v>
      </c>
      <c r="D74" s="80" t="s">
        <v>56</v>
      </c>
      <c r="E74" s="80"/>
      <c r="F74" s="110">
        <v>796</v>
      </c>
      <c r="G74" s="129" t="s">
        <v>24</v>
      </c>
      <c r="H74" s="129">
        <v>1</v>
      </c>
      <c r="I74" s="151">
        <v>98401</v>
      </c>
      <c r="J74" s="83" t="s">
        <v>429</v>
      </c>
      <c r="K74" s="24">
        <v>20000</v>
      </c>
      <c r="L74" s="24"/>
      <c r="M74" s="24"/>
      <c r="N74" s="24"/>
      <c r="O74" s="24"/>
      <c r="P74" s="83"/>
      <c r="Q74" s="83"/>
      <c r="R74" s="24">
        <v>1</v>
      </c>
      <c r="S74" s="24">
        <v>20000</v>
      </c>
      <c r="T74" s="83"/>
      <c r="U74" s="83"/>
      <c r="V74" s="83"/>
      <c r="W74" s="83"/>
      <c r="X74" s="167"/>
      <c r="Y74" s="168"/>
      <c r="Z74" s="168"/>
      <c r="AA74" s="168"/>
      <c r="AB74" s="168"/>
      <c r="AC74" s="168"/>
      <c r="AD74" s="168"/>
      <c r="AE74" s="168"/>
    </row>
    <row r="75" spans="1:256" s="141" customFormat="1" ht="30" x14ac:dyDescent="0.25">
      <c r="A75" s="138">
        <v>8.5</v>
      </c>
      <c r="B75" s="165" t="s">
        <v>422</v>
      </c>
      <c r="C75" s="110">
        <v>7430000</v>
      </c>
      <c r="D75" s="80" t="s">
        <v>57</v>
      </c>
      <c r="E75" s="80"/>
      <c r="F75" s="110">
        <v>796</v>
      </c>
      <c r="G75" s="129" t="s">
        <v>24</v>
      </c>
      <c r="H75" s="129">
        <v>4</v>
      </c>
      <c r="I75" s="151">
        <v>98401</v>
      </c>
      <c r="J75" s="83" t="s">
        <v>429</v>
      </c>
      <c r="K75" s="24">
        <v>60000</v>
      </c>
      <c r="L75" s="24"/>
      <c r="M75" s="24"/>
      <c r="N75" s="24"/>
      <c r="O75" s="24"/>
      <c r="P75" s="83"/>
      <c r="Q75" s="83"/>
      <c r="R75" s="24">
        <v>4</v>
      </c>
      <c r="S75" s="24">
        <v>60000</v>
      </c>
      <c r="T75" s="83"/>
      <c r="U75" s="83"/>
      <c r="V75" s="83"/>
      <c r="W75" s="83"/>
      <c r="X75" s="167"/>
      <c r="Y75" s="168"/>
      <c r="Z75" s="168"/>
      <c r="AA75" s="168"/>
      <c r="AB75" s="168"/>
      <c r="AC75" s="168"/>
      <c r="AD75" s="168"/>
      <c r="AE75" s="168"/>
    </row>
    <row r="76" spans="1:256" s="141" customFormat="1" x14ac:dyDescent="0.25">
      <c r="A76" s="138">
        <v>8.6</v>
      </c>
      <c r="B76" s="165" t="s">
        <v>422</v>
      </c>
      <c r="C76" s="110">
        <v>7430000</v>
      </c>
      <c r="D76" s="80" t="s">
        <v>58</v>
      </c>
      <c r="E76" s="80"/>
      <c r="F76" s="110">
        <v>796</v>
      </c>
      <c r="G76" s="129" t="s">
        <v>24</v>
      </c>
      <c r="H76" s="129">
        <v>3</v>
      </c>
      <c r="I76" s="151">
        <v>98401</v>
      </c>
      <c r="J76" s="83" t="s">
        <v>429</v>
      </c>
      <c r="K76" s="24">
        <v>21000</v>
      </c>
      <c r="L76" s="24"/>
      <c r="M76" s="24"/>
      <c r="N76" s="24"/>
      <c r="O76" s="24"/>
      <c r="P76" s="83"/>
      <c r="Q76" s="83"/>
      <c r="R76" s="24">
        <v>3</v>
      </c>
      <c r="S76" s="24">
        <v>21000</v>
      </c>
      <c r="T76" s="83"/>
      <c r="U76" s="83"/>
      <c r="V76" s="83"/>
      <c r="W76" s="83"/>
      <c r="X76" s="167"/>
      <c r="Y76" s="168"/>
      <c r="Z76" s="168"/>
      <c r="AA76" s="168"/>
      <c r="AB76" s="168"/>
      <c r="AC76" s="168"/>
      <c r="AD76" s="168"/>
      <c r="AE76" s="168"/>
    </row>
    <row r="77" spans="1:256" s="141" customFormat="1" ht="30" x14ac:dyDescent="0.25">
      <c r="A77" s="138">
        <v>8.6999999999999993</v>
      </c>
      <c r="B77" s="165" t="s">
        <v>423</v>
      </c>
      <c r="C77" s="110">
        <v>7430000</v>
      </c>
      <c r="D77" s="80" t="s">
        <v>59</v>
      </c>
      <c r="E77" s="80"/>
      <c r="F77" s="110">
        <v>796</v>
      </c>
      <c r="G77" s="129" t="s">
        <v>24</v>
      </c>
      <c r="H77" s="129">
        <v>150</v>
      </c>
      <c r="I77" s="151">
        <v>98401</v>
      </c>
      <c r="J77" s="83" t="s">
        <v>429</v>
      </c>
      <c r="K77" s="24">
        <v>27000</v>
      </c>
      <c r="L77" s="24"/>
      <c r="M77" s="24"/>
      <c r="N77" s="24"/>
      <c r="O77" s="24"/>
      <c r="P77" s="83"/>
      <c r="Q77" s="83"/>
      <c r="R77" s="83"/>
      <c r="S77" s="83"/>
      <c r="T77" s="83"/>
      <c r="U77" s="83"/>
      <c r="V77" s="24">
        <v>150</v>
      </c>
      <c r="W77" s="24">
        <v>27000</v>
      </c>
      <c r="X77" s="167"/>
      <c r="Y77" s="168"/>
      <c r="Z77" s="168"/>
      <c r="AA77" s="168"/>
      <c r="AB77" s="168"/>
      <c r="AC77" s="168"/>
      <c r="AD77" s="168"/>
      <c r="AE77" s="168"/>
    </row>
    <row r="78" spans="1:256" s="141" customFormat="1" x14ac:dyDescent="0.25">
      <c r="A78" s="138">
        <v>8.8000000000000007</v>
      </c>
      <c r="B78" s="165" t="s">
        <v>423</v>
      </c>
      <c r="C78" s="110">
        <v>7430000</v>
      </c>
      <c r="D78" s="80" t="s">
        <v>60</v>
      </c>
      <c r="E78" s="80"/>
      <c r="F78" s="110">
        <v>796</v>
      </c>
      <c r="G78" s="129" t="s">
        <v>24</v>
      </c>
      <c r="H78" s="129">
        <v>200</v>
      </c>
      <c r="I78" s="151">
        <v>98401</v>
      </c>
      <c r="J78" s="83" t="s">
        <v>429</v>
      </c>
      <c r="K78" s="24">
        <v>12000</v>
      </c>
      <c r="L78" s="24"/>
      <c r="M78" s="24"/>
      <c r="N78" s="24"/>
      <c r="O78" s="24"/>
      <c r="P78" s="83"/>
      <c r="Q78" s="83"/>
      <c r="R78" s="83"/>
      <c r="S78" s="83"/>
      <c r="T78" s="83"/>
      <c r="U78" s="83"/>
      <c r="V78" s="24">
        <v>200</v>
      </c>
      <c r="W78" s="24">
        <v>12000</v>
      </c>
      <c r="X78" s="167"/>
      <c r="Y78" s="168"/>
      <c r="Z78" s="168"/>
      <c r="AA78" s="168"/>
      <c r="AB78" s="168"/>
      <c r="AC78" s="168"/>
      <c r="AD78" s="168"/>
      <c r="AE78" s="168"/>
    </row>
    <row r="79" spans="1:256" s="141" customFormat="1" ht="30" x14ac:dyDescent="0.25">
      <c r="A79" s="138">
        <v>8.9</v>
      </c>
      <c r="B79" s="165" t="s">
        <v>423</v>
      </c>
      <c r="C79" s="110">
        <v>7430000</v>
      </c>
      <c r="D79" s="80" t="s">
        <v>61</v>
      </c>
      <c r="E79" s="80"/>
      <c r="F79" s="110">
        <v>796</v>
      </c>
      <c r="G79" s="129" t="s">
        <v>24</v>
      </c>
      <c r="H79" s="129">
        <v>50</v>
      </c>
      <c r="I79" s="151">
        <v>98401</v>
      </c>
      <c r="J79" s="83" t="s">
        <v>429</v>
      </c>
      <c r="K79" s="24">
        <v>6000</v>
      </c>
      <c r="L79" s="24"/>
      <c r="M79" s="24"/>
      <c r="N79" s="24"/>
      <c r="O79" s="24"/>
      <c r="P79" s="83"/>
      <c r="Q79" s="83"/>
      <c r="R79" s="83"/>
      <c r="S79" s="83"/>
      <c r="T79" s="83"/>
      <c r="U79" s="83"/>
      <c r="V79" s="24">
        <v>50</v>
      </c>
      <c r="W79" s="24">
        <v>6000</v>
      </c>
      <c r="X79" s="167"/>
      <c r="Y79" s="168"/>
      <c r="Z79" s="168"/>
      <c r="AA79" s="168"/>
      <c r="AB79" s="168"/>
      <c r="AC79" s="168"/>
      <c r="AD79" s="168"/>
      <c r="AE79" s="168"/>
    </row>
    <row r="80" spans="1:256" s="141" customFormat="1" ht="30" x14ac:dyDescent="0.25">
      <c r="A80" s="138">
        <v>8.1</v>
      </c>
      <c r="B80" s="165" t="s">
        <v>423</v>
      </c>
      <c r="C80" s="110">
        <v>7430000</v>
      </c>
      <c r="D80" s="80" t="s">
        <v>62</v>
      </c>
      <c r="E80" s="80"/>
      <c r="F80" s="110">
        <v>796</v>
      </c>
      <c r="G80" s="129" t="s">
        <v>24</v>
      </c>
      <c r="H80" s="129">
        <v>100</v>
      </c>
      <c r="I80" s="151">
        <v>98401</v>
      </c>
      <c r="J80" s="83" t="s">
        <v>429</v>
      </c>
      <c r="K80" s="24">
        <v>5000</v>
      </c>
      <c r="L80" s="24"/>
      <c r="M80" s="24"/>
      <c r="N80" s="24"/>
      <c r="O80" s="24"/>
      <c r="P80" s="83"/>
      <c r="Q80" s="83"/>
      <c r="R80" s="83"/>
      <c r="S80" s="83"/>
      <c r="T80" s="83"/>
      <c r="U80" s="83"/>
      <c r="V80" s="24">
        <v>100</v>
      </c>
      <c r="W80" s="24">
        <v>5000</v>
      </c>
      <c r="X80" s="167"/>
      <c r="Y80" s="168"/>
      <c r="Z80" s="168"/>
      <c r="AA80" s="168"/>
      <c r="AB80" s="168"/>
      <c r="AC80" s="168"/>
      <c r="AD80" s="168"/>
      <c r="AE80" s="168"/>
    </row>
    <row r="81" spans="1:256" s="141" customFormat="1" x14ac:dyDescent="0.25">
      <c r="A81" s="138">
        <v>8.11</v>
      </c>
      <c r="B81" s="165" t="s">
        <v>423</v>
      </c>
      <c r="C81" s="110">
        <v>7430000</v>
      </c>
      <c r="D81" s="80" t="s">
        <v>63</v>
      </c>
      <c r="E81" s="80"/>
      <c r="F81" s="110">
        <v>796</v>
      </c>
      <c r="G81" s="129" t="s">
        <v>24</v>
      </c>
      <c r="H81" s="129">
        <v>100</v>
      </c>
      <c r="I81" s="151">
        <v>98401</v>
      </c>
      <c r="J81" s="83" t="s">
        <v>429</v>
      </c>
      <c r="K81" s="24">
        <v>12000</v>
      </c>
      <c r="L81" s="24"/>
      <c r="M81" s="24"/>
      <c r="N81" s="24"/>
      <c r="O81" s="24"/>
      <c r="P81" s="83"/>
      <c r="Q81" s="83"/>
      <c r="R81" s="83"/>
      <c r="S81" s="83"/>
      <c r="T81" s="83"/>
      <c r="U81" s="83"/>
      <c r="V81" s="24">
        <v>100</v>
      </c>
      <c r="W81" s="24">
        <v>12000</v>
      </c>
      <c r="X81" s="167"/>
      <c r="Y81" s="168"/>
      <c r="Z81" s="168"/>
      <c r="AA81" s="168"/>
      <c r="AB81" s="168"/>
      <c r="AC81" s="168"/>
      <c r="AD81" s="168"/>
      <c r="AE81" s="168"/>
    </row>
    <row r="82" spans="1:256" s="141" customFormat="1" x14ac:dyDescent="0.25">
      <c r="A82" s="138">
        <v>8.1199999999999992</v>
      </c>
      <c r="B82" s="165"/>
      <c r="C82" s="110"/>
      <c r="D82" s="80" t="s">
        <v>64</v>
      </c>
      <c r="E82" s="80"/>
      <c r="F82" s="110">
        <v>796</v>
      </c>
      <c r="G82" s="129" t="s">
        <v>24</v>
      </c>
      <c r="H82" s="129">
        <v>1</v>
      </c>
      <c r="I82" s="151">
        <v>98401</v>
      </c>
      <c r="J82" s="83" t="s">
        <v>429</v>
      </c>
      <c r="K82" s="24">
        <v>6000</v>
      </c>
      <c r="L82" s="24"/>
      <c r="M82" s="24"/>
      <c r="N82" s="24"/>
      <c r="O82" s="24"/>
      <c r="P82" s="83"/>
      <c r="Q82" s="83"/>
      <c r="R82" s="83"/>
      <c r="S82" s="83"/>
      <c r="T82" s="83"/>
      <c r="U82" s="83"/>
      <c r="V82" s="24">
        <v>1</v>
      </c>
      <c r="W82" s="24">
        <v>6000</v>
      </c>
      <c r="X82" s="167"/>
      <c r="Y82" s="168"/>
      <c r="Z82" s="168"/>
      <c r="AA82" s="168"/>
      <c r="AB82" s="168"/>
      <c r="AC82" s="168"/>
      <c r="AD82" s="168"/>
      <c r="AE82" s="168"/>
    </row>
    <row r="83" spans="1:256" s="141" customFormat="1" x14ac:dyDescent="0.25">
      <c r="A83" s="138">
        <v>8.1300000000000008</v>
      </c>
      <c r="B83" s="165"/>
      <c r="C83" s="110"/>
      <c r="D83" s="80" t="s">
        <v>65</v>
      </c>
      <c r="E83" s="80"/>
      <c r="F83" s="110">
        <v>796</v>
      </c>
      <c r="G83" s="129" t="s">
        <v>24</v>
      </c>
      <c r="H83" s="129"/>
      <c r="I83" s="151">
        <v>98401</v>
      </c>
      <c r="J83" s="83" t="s">
        <v>429</v>
      </c>
      <c r="K83" s="24">
        <v>118000</v>
      </c>
      <c r="L83" s="24"/>
      <c r="M83" s="24"/>
      <c r="N83" s="24"/>
      <c r="O83" s="24"/>
      <c r="P83" s="83"/>
      <c r="Q83" s="83"/>
      <c r="R83" s="83"/>
      <c r="S83" s="83"/>
      <c r="T83" s="83">
        <v>50</v>
      </c>
      <c r="U83" s="83">
        <v>80000</v>
      </c>
      <c r="V83" s="24"/>
      <c r="W83" s="24">
        <v>38000</v>
      </c>
      <c r="X83" s="167"/>
      <c r="Y83" s="168"/>
      <c r="Z83" s="168"/>
      <c r="AA83" s="168"/>
      <c r="AB83" s="168"/>
      <c r="AC83" s="168"/>
      <c r="AD83" s="168"/>
      <c r="AE83" s="168"/>
    </row>
    <row r="84" spans="1:256" s="164" customFormat="1" ht="28.5" x14ac:dyDescent="0.2">
      <c r="A84" s="140">
        <v>9</v>
      </c>
      <c r="B84" s="156"/>
      <c r="C84" s="157"/>
      <c r="D84" s="158" t="s">
        <v>66</v>
      </c>
      <c r="E84" s="158"/>
      <c r="F84" s="159"/>
      <c r="G84" s="160"/>
      <c r="H84" s="160"/>
      <c r="I84" s="161"/>
      <c r="J84" s="162"/>
      <c r="K84" s="162"/>
      <c r="L84" s="162"/>
      <c r="M84" s="162"/>
      <c r="N84" s="162"/>
      <c r="O84" s="162"/>
      <c r="P84" s="162"/>
      <c r="Q84" s="162"/>
      <c r="R84" s="162"/>
      <c r="S84" s="162"/>
      <c r="T84" s="162"/>
      <c r="U84" s="162"/>
      <c r="V84" s="162"/>
      <c r="W84" s="162"/>
      <c r="X84" s="163"/>
      <c r="Y84" s="140"/>
      <c r="Z84" s="156"/>
      <c r="AA84" s="157"/>
      <c r="AB84" s="158"/>
      <c r="AC84" s="158"/>
      <c r="AD84" s="159"/>
      <c r="AE84" s="160"/>
      <c r="AF84" s="160"/>
      <c r="AG84" s="162"/>
      <c r="AH84" s="162"/>
      <c r="AI84" s="162"/>
      <c r="AJ84" s="162"/>
      <c r="AK84" s="162"/>
      <c r="AL84" s="162"/>
      <c r="AM84" s="162"/>
      <c r="AN84" s="162"/>
      <c r="AO84" s="162"/>
      <c r="AP84" s="162"/>
      <c r="AQ84" s="162"/>
      <c r="AR84" s="162"/>
      <c r="AS84" s="162"/>
      <c r="AT84" s="162"/>
      <c r="AU84" s="162"/>
      <c r="AV84" s="163"/>
      <c r="AW84" s="140"/>
      <c r="AX84" s="156"/>
      <c r="AY84" s="157"/>
      <c r="AZ84" s="158"/>
      <c r="BA84" s="158"/>
      <c r="BB84" s="159"/>
      <c r="BC84" s="160"/>
      <c r="BD84" s="160"/>
      <c r="BE84" s="162"/>
      <c r="BF84" s="162"/>
      <c r="BG84" s="162"/>
      <c r="BH84" s="162"/>
      <c r="BI84" s="162"/>
      <c r="BJ84" s="162"/>
      <c r="BK84" s="162"/>
      <c r="BL84" s="162"/>
      <c r="BM84" s="162"/>
      <c r="BN84" s="162"/>
      <c r="BO84" s="162"/>
      <c r="BP84" s="162"/>
      <c r="BQ84" s="162"/>
      <c r="BR84" s="162"/>
      <c r="BS84" s="162"/>
      <c r="BT84" s="163"/>
      <c r="BU84" s="140"/>
      <c r="BV84" s="156"/>
      <c r="BW84" s="157"/>
      <c r="BX84" s="158"/>
      <c r="BY84" s="158"/>
      <c r="BZ84" s="159"/>
      <c r="CA84" s="160"/>
      <c r="CB84" s="160"/>
      <c r="CC84" s="162"/>
      <c r="CD84" s="162"/>
      <c r="CE84" s="162"/>
      <c r="CF84" s="162"/>
      <c r="CG84" s="162"/>
      <c r="CH84" s="162"/>
      <c r="CI84" s="162"/>
      <c r="CJ84" s="162"/>
      <c r="CK84" s="162"/>
      <c r="CL84" s="162"/>
      <c r="CM84" s="162"/>
      <c r="CN84" s="162"/>
      <c r="CO84" s="162"/>
      <c r="CP84" s="162"/>
      <c r="CQ84" s="162"/>
      <c r="CR84" s="163"/>
      <c r="CS84" s="140"/>
      <c r="CT84" s="156"/>
      <c r="CU84" s="157"/>
      <c r="CV84" s="158"/>
      <c r="CW84" s="158"/>
      <c r="CX84" s="159"/>
      <c r="CY84" s="160"/>
      <c r="CZ84" s="160"/>
      <c r="DA84" s="162"/>
      <c r="DB84" s="162"/>
      <c r="DC84" s="162"/>
      <c r="DD84" s="162"/>
      <c r="DE84" s="162"/>
      <c r="DF84" s="162"/>
      <c r="DG84" s="162"/>
      <c r="DH84" s="162"/>
      <c r="DI84" s="162"/>
      <c r="DJ84" s="162"/>
      <c r="DK84" s="162"/>
      <c r="DL84" s="162"/>
      <c r="DM84" s="162"/>
      <c r="DN84" s="162"/>
      <c r="DO84" s="162"/>
      <c r="DP84" s="163"/>
      <c r="DQ84" s="140"/>
      <c r="DR84" s="156"/>
      <c r="DS84" s="157"/>
      <c r="DT84" s="158"/>
      <c r="DU84" s="158"/>
      <c r="DV84" s="159"/>
      <c r="DW84" s="160"/>
      <c r="DX84" s="160"/>
      <c r="DY84" s="162"/>
      <c r="DZ84" s="162"/>
      <c r="EA84" s="162"/>
      <c r="EB84" s="162"/>
      <c r="EC84" s="162"/>
      <c r="ED84" s="162"/>
      <c r="EE84" s="162"/>
      <c r="EF84" s="162"/>
      <c r="EG84" s="162"/>
      <c r="EH84" s="162"/>
      <c r="EI84" s="162"/>
      <c r="EJ84" s="162"/>
      <c r="EK84" s="162"/>
      <c r="EL84" s="162"/>
      <c r="EM84" s="162"/>
      <c r="EN84" s="163"/>
      <c r="EO84" s="140"/>
      <c r="EP84" s="156"/>
      <c r="EQ84" s="157"/>
      <c r="ER84" s="158"/>
      <c r="ES84" s="158"/>
      <c r="ET84" s="159"/>
      <c r="EU84" s="160"/>
      <c r="EV84" s="160"/>
      <c r="EW84" s="162"/>
      <c r="EX84" s="162"/>
      <c r="EY84" s="162"/>
      <c r="EZ84" s="162"/>
      <c r="FA84" s="162"/>
      <c r="FB84" s="162"/>
      <c r="FC84" s="162"/>
      <c r="FD84" s="162"/>
      <c r="FE84" s="162"/>
      <c r="FF84" s="162"/>
      <c r="FG84" s="162"/>
      <c r="FH84" s="162"/>
      <c r="FI84" s="162"/>
      <c r="FJ84" s="162"/>
      <c r="FK84" s="162"/>
      <c r="FL84" s="163"/>
      <c r="FM84" s="140"/>
      <c r="FN84" s="156"/>
      <c r="FO84" s="157"/>
      <c r="FP84" s="158"/>
      <c r="FQ84" s="158"/>
      <c r="FR84" s="159"/>
      <c r="FS84" s="160"/>
      <c r="FT84" s="160"/>
      <c r="FU84" s="162"/>
      <c r="FV84" s="162"/>
      <c r="FW84" s="162"/>
      <c r="FX84" s="162"/>
      <c r="FY84" s="162"/>
      <c r="FZ84" s="162"/>
      <c r="GA84" s="162"/>
      <c r="GB84" s="162"/>
      <c r="GC84" s="162"/>
      <c r="GD84" s="162"/>
      <c r="GE84" s="162"/>
      <c r="GF84" s="162"/>
      <c r="GG84" s="162"/>
      <c r="GH84" s="162"/>
      <c r="GI84" s="162"/>
      <c r="GJ84" s="163"/>
      <c r="GK84" s="140"/>
      <c r="GL84" s="156"/>
      <c r="GM84" s="157"/>
      <c r="GN84" s="158"/>
      <c r="GO84" s="158"/>
      <c r="GP84" s="159"/>
      <c r="GQ84" s="160"/>
      <c r="GR84" s="160"/>
      <c r="GS84" s="162"/>
      <c r="GT84" s="162"/>
      <c r="GU84" s="162"/>
      <c r="GV84" s="162"/>
      <c r="GW84" s="162"/>
      <c r="GX84" s="162"/>
      <c r="GY84" s="162"/>
      <c r="GZ84" s="162"/>
      <c r="HA84" s="162"/>
      <c r="HB84" s="162"/>
      <c r="HC84" s="162"/>
      <c r="HD84" s="162"/>
      <c r="HE84" s="162"/>
      <c r="HF84" s="162"/>
      <c r="HG84" s="162"/>
      <c r="HH84" s="163"/>
      <c r="HI84" s="140"/>
      <c r="HJ84" s="156"/>
      <c r="HK84" s="157"/>
      <c r="HL84" s="158"/>
      <c r="HM84" s="158"/>
      <c r="HN84" s="159"/>
      <c r="HO84" s="160"/>
      <c r="HP84" s="160"/>
      <c r="HQ84" s="162"/>
      <c r="HR84" s="162"/>
      <c r="HS84" s="162"/>
      <c r="HT84" s="162"/>
      <c r="HU84" s="162"/>
      <c r="HV84" s="162"/>
      <c r="HW84" s="162"/>
      <c r="HX84" s="162"/>
      <c r="HY84" s="162"/>
      <c r="HZ84" s="162"/>
      <c r="IA84" s="162"/>
      <c r="IB84" s="162"/>
      <c r="IC84" s="162"/>
      <c r="ID84" s="162"/>
      <c r="IE84" s="162"/>
      <c r="IF84" s="163"/>
      <c r="IG84" s="140"/>
      <c r="IH84" s="156"/>
      <c r="II84" s="157"/>
      <c r="IJ84" s="158"/>
      <c r="IK84" s="158"/>
      <c r="IL84" s="159"/>
      <c r="IM84" s="160"/>
      <c r="IN84" s="160"/>
      <c r="IO84" s="162"/>
      <c r="IP84" s="162"/>
      <c r="IQ84" s="162"/>
      <c r="IR84" s="162"/>
      <c r="IS84" s="162"/>
      <c r="IT84" s="162"/>
      <c r="IU84" s="162"/>
      <c r="IV84" s="162"/>
    </row>
    <row r="85" spans="1:256" s="141" customFormat="1" x14ac:dyDescent="0.25">
      <c r="A85" s="138">
        <v>9.1</v>
      </c>
      <c r="B85" s="165" t="s">
        <v>422</v>
      </c>
      <c r="C85" s="110">
        <v>2212000</v>
      </c>
      <c r="D85" s="43" t="s">
        <v>67</v>
      </c>
      <c r="E85" s="43"/>
      <c r="F85" s="110">
        <v>796</v>
      </c>
      <c r="G85" s="81" t="s">
        <v>17</v>
      </c>
      <c r="H85" s="129">
        <v>11</v>
      </c>
      <c r="I85" s="151">
        <v>98401</v>
      </c>
      <c r="J85" s="83" t="s">
        <v>429</v>
      </c>
      <c r="K85" s="24">
        <v>82000</v>
      </c>
      <c r="L85" s="24"/>
      <c r="M85" s="24"/>
      <c r="N85" s="24"/>
      <c r="O85" s="24"/>
      <c r="P85" s="83">
        <v>2</v>
      </c>
      <c r="Q85" s="83">
        <v>16000</v>
      </c>
      <c r="R85" s="83">
        <v>3</v>
      </c>
      <c r="S85" s="83">
        <v>24000</v>
      </c>
      <c r="T85" s="83">
        <v>3</v>
      </c>
      <c r="U85" s="83">
        <v>24000</v>
      </c>
      <c r="V85" s="83">
        <v>3</v>
      </c>
      <c r="W85" s="83">
        <v>18000</v>
      </c>
      <c r="X85" s="167"/>
      <c r="Y85" s="168"/>
      <c r="Z85" s="168"/>
      <c r="AA85" s="168"/>
      <c r="AB85" s="168"/>
      <c r="AC85" s="168"/>
      <c r="AD85" s="168"/>
      <c r="AE85" s="168"/>
    </row>
    <row r="86" spans="1:256" s="141" customFormat="1" x14ac:dyDescent="0.25">
      <c r="A86" s="138">
        <v>9.1999999999999993</v>
      </c>
      <c r="B86" s="165" t="s">
        <v>422</v>
      </c>
      <c r="C86" s="110">
        <v>2212000</v>
      </c>
      <c r="D86" s="43" t="s">
        <v>68</v>
      </c>
      <c r="E86" s="43"/>
      <c r="F86" s="110">
        <v>796</v>
      </c>
      <c r="G86" s="81" t="s">
        <v>17</v>
      </c>
      <c r="H86" s="129">
        <v>17</v>
      </c>
      <c r="I86" s="151">
        <v>98401</v>
      </c>
      <c r="J86" s="83" t="s">
        <v>429</v>
      </c>
      <c r="K86" s="24">
        <v>136000</v>
      </c>
      <c r="L86" s="24"/>
      <c r="M86" s="24"/>
      <c r="N86" s="24"/>
      <c r="O86" s="24"/>
      <c r="P86" s="83">
        <v>2</v>
      </c>
      <c r="Q86" s="83">
        <v>16000</v>
      </c>
      <c r="R86" s="83">
        <v>6</v>
      </c>
      <c r="S86" s="83">
        <v>48000</v>
      </c>
      <c r="T86" s="83">
        <v>3</v>
      </c>
      <c r="U86" s="83">
        <v>24000</v>
      </c>
      <c r="V86" s="83">
        <v>6</v>
      </c>
      <c r="W86" s="83">
        <v>48000</v>
      </c>
      <c r="X86" s="167"/>
      <c r="Y86" s="168"/>
      <c r="Z86" s="168"/>
      <c r="AA86" s="168"/>
      <c r="AB86" s="168"/>
      <c r="AC86" s="168"/>
      <c r="AD86" s="168"/>
      <c r="AE86" s="168"/>
    </row>
    <row r="87" spans="1:256" s="141" customFormat="1" x14ac:dyDescent="0.25">
      <c r="A87" s="138">
        <v>9.3000000000000007</v>
      </c>
      <c r="B87" s="165" t="s">
        <v>424</v>
      </c>
      <c r="C87" s="110">
        <v>2212000</v>
      </c>
      <c r="D87" s="43" t="s">
        <v>69</v>
      </c>
      <c r="E87" s="43"/>
      <c r="F87" s="110">
        <v>796</v>
      </c>
      <c r="G87" s="81" t="s">
        <v>17</v>
      </c>
      <c r="H87" s="129">
        <v>17</v>
      </c>
      <c r="I87" s="151">
        <v>98401</v>
      </c>
      <c r="J87" s="83" t="s">
        <v>429</v>
      </c>
      <c r="K87" s="24">
        <v>136000</v>
      </c>
      <c r="L87" s="24"/>
      <c r="M87" s="24"/>
      <c r="N87" s="24"/>
      <c r="O87" s="24"/>
      <c r="P87" s="83">
        <v>2</v>
      </c>
      <c r="Q87" s="83">
        <v>16000</v>
      </c>
      <c r="R87" s="83">
        <v>6</v>
      </c>
      <c r="S87" s="83">
        <v>48000</v>
      </c>
      <c r="T87" s="83">
        <v>3</v>
      </c>
      <c r="U87" s="83">
        <v>24000</v>
      </c>
      <c r="V87" s="83">
        <v>6</v>
      </c>
      <c r="W87" s="83">
        <v>48000</v>
      </c>
      <c r="X87" s="167"/>
      <c r="Y87" s="168"/>
      <c r="Z87" s="168"/>
      <c r="AA87" s="168"/>
      <c r="AB87" s="168"/>
      <c r="AC87" s="168"/>
      <c r="AD87" s="168"/>
      <c r="AE87" s="168"/>
    </row>
    <row r="88" spans="1:256" s="141" customFormat="1" x14ac:dyDescent="0.25">
      <c r="A88" s="138">
        <v>9.4</v>
      </c>
      <c r="B88" s="165" t="s">
        <v>424</v>
      </c>
      <c r="C88" s="110">
        <v>2212000</v>
      </c>
      <c r="D88" s="43" t="s">
        <v>70</v>
      </c>
      <c r="E88" s="43"/>
      <c r="F88" s="110">
        <v>796</v>
      </c>
      <c r="G88" s="81" t="s">
        <v>17</v>
      </c>
      <c r="H88" s="129">
        <v>11</v>
      </c>
      <c r="I88" s="151">
        <v>98401</v>
      </c>
      <c r="J88" s="83" t="s">
        <v>429</v>
      </c>
      <c r="K88" s="24">
        <v>99000</v>
      </c>
      <c r="L88" s="24"/>
      <c r="M88" s="24"/>
      <c r="N88" s="24"/>
      <c r="O88" s="24"/>
      <c r="P88" s="83">
        <v>2</v>
      </c>
      <c r="Q88" s="83">
        <v>18000</v>
      </c>
      <c r="R88" s="83">
        <v>3</v>
      </c>
      <c r="S88" s="83">
        <v>27000</v>
      </c>
      <c r="T88" s="83">
        <v>3</v>
      </c>
      <c r="U88" s="83">
        <v>27000</v>
      </c>
      <c r="V88" s="83">
        <v>3</v>
      </c>
      <c r="W88" s="83">
        <v>27000</v>
      </c>
      <c r="X88" s="167"/>
      <c r="Y88" s="168"/>
      <c r="Z88" s="168"/>
      <c r="AA88" s="168"/>
      <c r="AB88" s="168"/>
      <c r="AC88" s="168"/>
      <c r="AD88" s="168"/>
      <c r="AE88" s="168"/>
    </row>
    <row r="89" spans="1:256" s="141" customFormat="1" x14ac:dyDescent="0.25">
      <c r="A89" s="138">
        <v>9.5</v>
      </c>
      <c r="B89" s="165" t="s">
        <v>424</v>
      </c>
      <c r="C89" s="110">
        <v>2212000</v>
      </c>
      <c r="D89" s="43" t="s">
        <v>71</v>
      </c>
      <c r="E89" s="43"/>
      <c r="F89" s="110">
        <v>796</v>
      </c>
      <c r="G89" s="81" t="s">
        <v>17</v>
      </c>
      <c r="H89" s="129">
        <v>3</v>
      </c>
      <c r="I89" s="151">
        <v>98401</v>
      </c>
      <c r="J89" s="83" t="s">
        <v>429</v>
      </c>
      <c r="K89" s="24">
        <v>21000</v>
      </c>
      <c r="L89" s="24"/>
      <c r="M89" s="24"/>
      <c r="N89" s="24"/>
      <c r="O89" s="24"/>
      <c r="P89" s="83">
        <v>2</v>
      </c>
      <c r="Q89" s="83">
        <v>14000</v>
      </c>
      <c r="R89" s="83">
        <v>1</v>
      </c>
      <c r="S89" s="83">
        <v>7000</v>
      </c>
      <c r="T89" s="83"/>
      <c r="U89" s="83"/>
      <c r="V89" s="83"/>
      <c r="W89" s="83"/>
      <c r="X89" s="167"/>
      <c r="Y89" s="168"/>
      <c r="Z89" s="168"/>
      <c r="AA89" s="168"/>
      <c r="AB89" s="168"/>
      <c r="AC89" s="168"/>
      <c r="AD89" s="168"/>
      <c r="AE89" s="168"/>
    </row>
    <row r="90" spans="1:256" s="141" customFormat="1" x14ac:dyDescent="0.25">
      <c r="A90" s="138">
        <v>9.6</v>
      </c>
      <c r="B90" s="165" t="s">
        <v>424</v>
      </c>
      <c r="C90" s="110">
        <v>2212000</v>
      </c>
      <c r="D90" s="43" t="s">
        <v>72</v>
      </c>
      <c r="E90" s="43"/>
      <c r="F90" s="110">
        <v>796</v>
      </c>
      <c r="G90" s="129" t="s">
        <v>17</v>
      </c>
      <c r="H90" s="129">
        <v>2</v>
      </c>
      <c r="I90" s="151">
        <v>98401</v>
      </c>
      <c r="J90" s="83" t="s">
        <v>429</v>
      </c>
      <c r="K90" s="24">
        <v>38000</v>
      </c>
      <c r="L90" s="24"/>
      <c r="M90" s="24"/>
      <c r="N90" s="24"/>
      <c r="O90" s="24"/>
      <c r="P90" s="83"/>
      <c r="Q90" s="83"/>
      <c r="R90" s="24">
        <v>2</v>
      </c>
      <c r="S90" s="24">
        <v>38000</v>
      </c>
      <c r="T90" s="83"/>
      <c r="U90" s="83"/>
      <c r="V90" s="83"/>
      <c r="W90" s="83"/>
      <c r="X90" s="167"/>
      <c r="Y90" s="168"/>
      <c r="Z90" s="168"/>
      <c r="AA90" s="168"/>
      <c r="AB90" s="168"/>
      <c r="AC90" s="168"/>
      <c r="AD90" s="168"/>
      <c r="AE90" s="168"/>
    </row>
    <row r="91" spans="1:256" s="141" customFormat="1" x14ac:dyDescent="0.25">
      <c r="A91" s="138">
        <v>9.6999999999999993</v>
      </c>
      <c r="B91" s="165" t="s">
        <v>424</v>
      </c>
      <c r="C91" s="110">
        <v>2212000</v>
      </c>
      <c r="D91" s="43" t="s">
        <v>73</v>
      </c>
      <c r="E91" s="43"/>
      <c r="F91" s="110">
        <v>796</v>
      </c>
      <c r="G91" s="129" t="s">
        <v>17</v>
      </c>
      <c r="H91" s="129">
        <v>175</v>
      </c>
      <c r="I91" s="151">
        <v>98401</v>
      </c>
      <c r="J91" s="83" t="s">
        <v>429</v>
      </c>
      <c r="K91" s="24">
        <v>350000</v>
      </c>
      <c r="L91" s="24"/>
      <c r="M91" s="24"/>
      <c r="N91" s="24"/>
      <c r="O91" s="24"/>
      <c r="P91" s="83">
        <v>40</v>
      </c>
      <c r="Q91" s="83">
        <v>80000</v>
      </c>
      <c r="R91" s="83">
        <v>45</v>
      </c>
      <c r="S91" s="83">
        <v>90000</v>
      </c>
      <c r="T91" s="83">
        <v>45</v>
      </c>
      <c r="U91" s="83">
        <v>90000</v>
      </c>
      <c r="V91" s="83">
        <v>45</v>
      </c>
      <c r="W91" s="83">
        <v>90000</v>
      </c>
      <c r="X91" s="167"/>
      <c r="Y91" s="168"/>
      <c r="Z91" s="168"/>
      <c r="AA91" s="168"/>
      <c r="AB91" s="168"/>
      <c r="AC91" s="168"/>
      <c r="AD91" s="168"/>
      <c r="AE91" s="168"/>
    </row>
    <row r="92" spans="1:256" s="141" customFormat="1" x14ac:dyDescent="0.25">
      <c r="A92" s="138">
        <v>9.8000000000000007</v>
      </c>
      <c r="B92" s="165" t="s">
        <v>424</v>
      </c>
      <c r="C92" s="110">
        <v>2212000</v>
      </c>
      <c r="D92" s="43" t="s">
        <v>74</v>
      </c>
      <c r="E92" s="43"/>
      <c r="F92" s="110">
        <v>796</v>
      </c>
      <c r="G92" s="129" t="s">
        <v>17</v>
      </c>
      <c r="H92" s="129">
        <v>2</v>
      </c>
      <c r="I92" s="151">
        <v>98401</v>
      </c>
      <c r="J92" s="83" t="s">
        <v>429</v>
      </c>
      <c r="K92" s="24">
        <v>70000</v>
      </c>
      <c r="L92" s="24"/>
      <c r="M92" s="24"/>
      <c r="N92" s="24"/>
      <c r="O92" s="24"/>
      <c r="P92" s="83"/>
      <c r="Q92" s="83"/>
      <c r="R92" s="24">
        <v>2</v>
      </c>
      <c r="S92" s="24">
        <v>70000</v>
      </c>
      <c r="T92" s="83"/>
      <c r="U92" s="83"/>
      <c r="V92" s="83"/>
      <c r="W92" s="83"/>
      <c r="X92" s="167"/>
      <c r="Y92" s="168"/>
      <c r="Z92" s="168"/>
      <c r="AA92" s="168"/>
      <c r="AB92" s="168"/>
      <c r="AC92" s="168"/>
      <c r="AD92" s="168"/>
      <c r="AE92" s="168"/>
    </row>
    <row r="93" spans="1:256" s="164" customFormat="1" ht="14.25" x14ac:dyDescent="0.2">
      <c r="A93" s="140">
        <v>10</v>
      </c>
      <c r="B93" s="156"/>
      <c r="C93" s="157"/>
      <c r="D93" s="158" t="s">
        <v>75</v>
      </c>
      <c r="E93" s="158"/>
      <c r="F93" s="159"/>
      <c r="G93" s="160"/>
      <c r="H93" s="160"/>
      <c r="I93" s="161"/>
      <c r="J93" s="162"/>
      <c r="K93" s="162"/>
      <c r="L93" s="162"/>
      <c r="M93" s="162"/>
      <c r="N93" s="162"/>
      <c r="O93" s="162"/>
      <c r="P93" s="162"/>
      <c r="Q93" s="162"/>
      <c r="R93" s="162"/>
      <c r="S93" s="162"/>
      <c r="T93" s="162"/>
      <c r="U93" s="162"/>
      <c r="V93" s="162"/>
      <c r="W93" s="162"/>
      <c r="X93" s="163"/>
      <c r="Y93" s="140"/>
      <c r="Z93" s="156"/>
      <c r="AA93" s="157"/>
      <c r="AB93" s="158"/>
      <c r="AC93" s="158"/>
      <c r="AD93" s="159"/>
      <c r="AE93" s="160"/>
      <c r="AF93" s="160"/>
      <c r="AG93" s="162"/>
      <c r="AH93" s="162"/>
      <c r="AI93" s="162"/>
      <c r="AJ93" s="162"/>
      <c r="AK93" s="162"/>
      <c r="AL93" s="162"/>
      <c r="AM93" s="162"/>
      <c r="AN93" s="162"/>
      <c r="AO93" s="162"/>
      <c r="AP93" s="162"/>
      <c r="AQ93" s="162"/>
      <c r="AR93" s="162"/>
      <c r="AS93" s="162"/>
      <c r="AT93" s="162"/>
      <c r="AU93" s="162"/>
      <c r="AV93" s="163"/>
      <c r="AW93" s="140"/>
      <c r="AX93" s="156"/>
      <c r="AY93" s="157"/>
      <c r="AZ93" s="158"/>
      <c r="BA93" s="158"/>
      <c r="BB93" s="159"/>
      <c r="BC93" s="160"/>
      <c r="BD93" s="160"/>
      <c r="BE93" s="162"/>
      <c r="BF93" s="162"/>
      <c r="BG93" s="162"/>
      <c r="BH93" s="162"/>
      <c r="BI93" s="162"/>
      <c r="BJ93" s="162"/>
      <c r="BK93" s="162"/>
      <c r="BL93" s="162"/>
      <c r="BM93" s="162"/>
      <c r="BN93" s="162"/>
      <c r="BO93" s="162"/>
      <c r="BP93" s="162"/>
      <c r="BQ93" s="162"/>
      <c r="BR93" s="162"/>
      <c r="BS93" s="162"/>
      <c r="BT93" s="163"/>
      <c r="BU93" s="140"/>
      <c r="BV93" s="156"/>
      <c r="BW93" s="157"/>
      <c r="BX93" s="158"/>
      <c r="BY93" s="158"/>
      <c r="BZ93" s="159"/>
      <c r="CA93" s="160"/>
      <c r="CB93" s="160"/>
      <c r="CC93" s="162"/>
      <c r="CD93" s="162"/>
      <c r="CE93" s="162"/>
      <c r="CF93" s="162"/>
      <c r="CG93" s="162"/>
      <c r="CH93" s="162"/>
      <c r="CI93" s="162"/>
      <c r="CJ93" s="162"/>
      <c r="CK93" s="162"/>
      <c r="CL93" s="162"/>
      <c r="CM93" s="162"/>
      <c r="CN93" s="162"/>
      <c r="CO93" s="162"/>
      <c r="CP93" s="162"/>
      <c r="CQ93" s="162"/>
      <c r="CR93" s="163"/>
      <c r="CS93" s="140"/>
      <c r="CT93" s="156"/>
      <c r="CU93" s="157"/>
      <c r="CV93" s="158"/>
      <c r="CW93" s="158"/>
      <c r="CX93" s="159"/>
      <c r="CY93" s="160"/>
      <c r="CZ93" s="160"/>
      <c r="DA93" s="162"/>
      <c r="DB93" s="162"/>
      <c r="DC93" s="162"/>
      <c r="DD93" s="162"/>
      <c r="DE93" s="162"/>
      <c r="DF93" s="162"/>
      <c r="DG93" s="162"/>
      <c r="DH93" s="162"/>
      <c r="DI93" s="162"/>
      <c r="DJ93" s="162"/>
      <c r="DK93" s="162"/>
      <c r="DL93" s="162"/>
      <c r="DM93" s="162"/>
      <c r="DN93" s="162"/>
      <c r="DO93" s="162"/>
      <c r="DP93" s="163"/>
      <c r="DQ93" s="140"/>
      <c r="DR93" s="156"/>
      <c r="DS93" s="157"/>
      <c r="DT93" s="158"/>
      <c r="DU93" s="158"/>
      <c r="DV93" s="159"/>
      <c r="DW93" s="160"/>
      <c r="DX93" s="160"/>
      <c r="DY93" s="162"/>
      <c r="DZ93" s="162"/>
      <c r="EA93" s="162"/>
      <c r="EB93" s="162"/>
      <c r="EC93" s="162"/>
      <c r="ED93" s="162"/>
      <c r="EE93" s="162"/>
      <c r="EF93" s="162"/>
      <c r="EG93" s="162"/>
      <c r="EH93" s="162"/>
      <c r="EI93" s="162"/>
      <c r="EJ93" s="162"/>
      <c r="EK93" s="162"/>
      <c r="EL93" s="162"/>
      <c r="EM93" s="162"/>
      <c r="EN93" s="163"/>
      <c r="EO93" s="140"/>
      <c r="EP93" s="156"/>
      <c r="EQ93" s="157"/>
      <c r="ER93" s="158"/>
      <c r="ES93" s="158"/>
      <c r="ET93" s="159"/>
      <c r="EU93" s="160"/>
      <c r="EV93" s="160"/>
      <c r="EW93" s="162"/>
      <c r="EX93" s="162"/>
      <c r="EY93" s="162"/>
      <c r="EZ93" s="162"/>
      <c r="FA93" s="162"/>
      <c r="FB93" s="162"/>
      <c r="FC93" s="162"/>
      <c r="FD93" s="162"/>
      <c r="FE93" s="162"/>
      <c r="FF93" s="162"/>
      <c r="FG93" s="162"/>
      <c r="FH93" s="162"/>
      <c r="FI93" s="162"/>
      <c r="FJ93" s="162"/>
      <c r="FK93" s="162"/>
      <c r="FL93" s="163"/>
      <c r="FM93" s="140"/>
      <c r="FN93" s="156"/>
      <c r="FO93" s="157"/>
      <c r="FP93" s="158"/>
      <c r="FQ93" s="158"/>
      <c r="FR93" s="159"/>
      <c r="FS93" s="160"/>
      <c r="FT93" s="160"/>
      <c r="FU93" s="162"/>
      <c r="FV93" s="162"/>
      <c r="FW93" s="162"/>
      <c r="FX93" s="162"/>
      <c r="FY93" s="162"/>
      <c r="FZ93" s="162"/>
      <c r="GA93" s="162"/>
      <c r="GB93" s="162"/>
      <c r="GC93" s="162"/>
      <c r="GD93" s="162"/>
      <c r="GE93" s="162"/>
      <c r="GF93" s="162"/>
      <c r="GG93" s="162"/>
      <c r="GH93" s="162"/>
      <c r="GI93" s="162"/>
      <c r="GJ93" s="163"/>
      <c r="GK93" s="140"/>
      <c r="GL93" s="156"/>
      <c r="GM93" s="157"/>
      <c r="GN93" s="158"/>
      <c r="GO93" s="158"/>
      <c r="GP93" s="159"/>
      <c r="GQ93" s="160"/>
      <c r="GR93" s="160"/>
      <c r="GS93" s="162"/>
      <c r="GT93" s="162"/>
      <c r="GU93" s="162"/>
      <c r="GV93" s="162"/>
      <c r="GW93" s="162"/>
      <c r="GX93" s="162"/>
      <c r="GY93" s="162"/>
      <c r="GZ93" s="162"/>
      <c r="HA93" s="162"/>
      <c r="HB93" s="162"/>
      <c r="HC93" s="162"/>
      <c r="HD93" s="162"/>
      <c r="HE93" s="162"/>
      <c r="HF93" s="162"/>
      <c r="HG93" s="162"/>
      <c r="HH93" s="163"/>
      <c r="HI93" s="140"/>
      <c r="HJ93" s="156"/>
      <c r="HK93" s="157"/>
      <c r="HL93" s="158"/>
      <c r="HM93" s="158"/>
      <c r="HN93" s="159"/>
      <c r="HO93" s="160"/>
      <c r="HP93" s="160"/>
      <c r="HQ93" s="162"/>
      <c r="HR93" s="162"/>
      <c r="HS93" s="162"/>
      <c r="HT93" s="162"/>
      <c r="HU93" s="162"/>
      <c r="HV93" s="162"/>
      <c r="HW93" s="162"/>
      <c r="HX93" s="162"/>
      <c r="HY93" s="162"/>
      <c r="HZ93" s="162"/>
      <c r="IA93" s="162"/>
      <c r="IB93" s="162"/>
      <c r="IC93" s="162"/>
      <c r="ID93" s="162"/>
      <c r="IE93" s="162"/>
      <c r="IF93" s="163"/>
      <c r="IG93" s="140"/>
      <c r="IH93" s="156"/>
      <c r="II93" s="157"/>
      <c r="IJ93" s="158"/>
      <c r="IK93" s="158"/>
      <c r="IL93" s="159"/>
      <c r="IM93" s="160"/>
      <c r="IN93" s="160"/>
      <c r="IO93" s="162"/>
      <c r="IP93" s="162"/>
      <c r="IQ93" s="162"/>
      <c r="IR93" s="162"/>
      <c r="IS93" s="162"/>
      <c r="IT93" s="162"/>
      <c r="IU93" s="162"/>
      <c r="IV93" s="162"/>
    </row>
    <row r="94" spans="1:256" s="141" customFormat="1" x14ac:dyDescent="0.25">
      <c r="A94" s="138">
        <v>10.1</v>
      </c>
      <c r="B94" s="110">
        <v>52.47</v>
      </c>
      <c r="C94" s="110">
        <v>2212000</v>
      </c>
      <c r="D94" s="43" t="s">
        <v>76</v>
      </c>
      <c r="E94" s="43"/>
      <c r="F94" s="110">
        <v>796</v>
      </c>
      <c r="G94" s="129" t="s">
        <v>17</v>
      </c>
      <c r="H94" s="129">
        <v>2</v>
      </c>
      <c r="I94" s="151">
        <v>98401</v>
      </c>
      <c r="J94" s="83" t="s">
        <v>429</v>
      </c>
      <c r="K94" s="27">
        <v>3000</v>
      </c>
      <c r="L94" s="27"/>
      <c r="M94" s="27"/>
      <c r="N94" s="27"/>
      <c r="O94" s="27"/>
      <c r="P94" s="83"/>
      <c r="Q94" s="83"/>
      <c r="R94" s="24">
        <v>1</v>
      </c>
      <c r="S94" s="27">
        <v>1500</v>
      </c>
      <c r="T94" s="187"/>
      <c r="U94" s="188"/>
      <c r="V94" s="27">
        <v>1</v>
      </c>
      <c r="W94" s="27">
        <v>1500</v>
      </c>
      <c r="X94" s="167"/>
      <c r="Y94" s="168"/>
      <c r="Z94" s="168"/>
      <c r="AA94" s="168"/>
      <c r="AB94" s="168"/>
      <c r="AC94" s="168"/>
      <c r="AD94" s="168"/>
      <c r="AE94" s="168"/>
    </row>
    <row r="95" spans="1:256" s="141" customFormat="1" x14ac:dyDescent="0.25">
      <c r="A95" s="138">
        <v>10.199999999999999</v>
      </c>
      <c r="B95" s="110">
        <v>52.47</v>
      </c>
      <c r="C95" s="110">
        <v>2212000</v>
      </c>
      <c r="D95" s="43" t="s">
        <v>77</v>
      </c>
      <c r="E95" s="43"/>
      <c r="F95" s="110">
        <v>796</v>
      </c>
      <c r="G95" s="129" t="s">
        <v>17</v>
      </c>
      <c r="H95" s="129">
        <v>2</v>
      </c>
      <c r="I95" s="151">
        <v>98401</v>
      </c>
      <c r="J95" s="83" t="s">
        <v>429</v>
      </c>
      <c r="K95" s="27">
        <v>1200</v>
      </c>
      <c r="L95" s="27"/>
      <c r="M95" s="27"/>
      <c r="N95" s="27"/>
      <c r="O95" s="27"/>
      <c r="P95" s="83"/>
      <c r="Q95" s="83"/>
      <c r="R95" s="24">
        <v>1</v>
      </c>
      <c r="S95" s="27">
        <v>600</v>
      </c>
      <c r="T95" s="187"/>
      <c r="U95" s="188"/>
      <c r="V95" s="27">
        <v>1</v>
      </c>
      <c r="W95" s="27">
        <v>600</v>
      </c>
      <c r="X95" s="167"/>
      <c r="Y95" s="168"/>
      <c r="Z95" s="168"/>
      <c r="AA95" s="168"/>
      <c r="AB95" s="168"/>
      <c r="AC95" s="168"/>
      <c r="AD95" s="168"/>
      <c r="AE95" s="168"/>
    </row>
    <row r="96" spans="1:256" s="141" customFormat="1" x14ac:dyDescent="0.25">
      <c r="A96" s="138">
        <v>10.3</v>
      </c>
      <c r="B96" s="110">
        <v>52.47</v>
      </c>
      <c r="C96" s="110">
        <v>2212000</v>
      </c>
      <c r="D96" s="43" t="s">
        <v>78</v>
      </c>
      <c r="E96" s="43"/>
      <c r="F96" s="110">
        <v>796</v>
      </c>
      <c r="G96" s="129" t="s">
        <v>17</v>
      </c>
      <c r="H96" s="129">
        <v>2</v>
      </c>
      <c r="I96" s="151">
        <v>98401</v>
      </c>
      <c r="J96" s="83" t="s">
        <v>429</v>
      </c>
      <c r="K96" s="381">
        <v>1920</v>
      </c>
      <c r="L96" s="189"/>
      <c r="M96" s="189"/>
      <c r="N96" s="189"/>
      <c r="O96" s="189"/>
      <c r="P96" s="83"/>
      <c r="Q96" s="83"/>
      <c r="R96" s="24">
        <v>1</v>
      </c>
      <c r="S96" s="381">
        <v>960</v>
      </c>
      <c r="T96" s="187"/>
      <c r="U96" s="188"/>
      <c r="V96" s="27">
        <v>1</v>
      </c>
      <c r="W96" s="381">
        <v>960</v>
      </c>
      <c r="X96" s="167"/>
      <c r="Y96" s="168"/>
      <c r="Z96" s="168"/>
      <c r="AA96" s="168"/>
      <c r="AB96" s="168"/>
      <c r="AC96" s="168"/>
      <c r="AD96" s="168"/>
      <c r="AE96" s="168"/>
    </row>
    <row r="97" spans="1:31" s="141" customFormat="1" x14ac:dyDescent="0.25">
      <c r="A97" s="138">
        <v>10.4</v>
      </c>
      <c r="B97" s="110">
        <v>52.47</v>
      </c>
      <c r="C97" s="110">
        <v>2212000</v>
      </c>
      <c r="D97" s="43" t="s">
        <v>79</v>
      </c>
      <c r="E97" s="43"/>
      <c r="F97" s="110">
        <v>796</v>
      </c>
      <c r="G97" s="129" t="s">
        <v>17</v>
      </c>
      <c r="H97" s="129">
        <v>2</v>
      </c>
      <c r="I97" s="151">
        <v>98401</v>
      </c>
      <c r="J97" s="83" t="s">
        <v>429</v>
      </c>
      <c r="K97" s="382"/>
      <c r="L97" s="190"/>
      <c r="M97" s="190"/>
      <c r="N97" s="190"/>
      <c r="O97" s="190"/>
      <c r="P97" s="83"/>
      <c r="Q97" s="83"/>
      <c r="R97" s="24">
        <v>1</v>
      </c>
      <c r="S97" s="382"/>
      <c r="T97" s="187"/>
      <c r="U97" s="188"/>
      <c r="V97" s="27">
        <v>1</v>
      </c>
      <c r="W97" s="382"/>
      <c r="X97" s="167"/>
      <c r="Y97" s="168"/>
      <c r="Z97" s="168"/>
      <c r="AA97" s="168"/>
      <c r="AB97" s="168"/>
      <c r="AC97" s="168"/>
      <c r="AD97" s="168"/>
      <c r="AE97" s="168"/>
    </row>
    <row r="98" spans="1:31" s="141" customFormat="1" x14ac:dyDescent="0.25">
      <c r="A98" s="138">
        <v>10.5</v>
      </c>
      <c r="B98" s="110">
        <v>52.47</v>
      </c>
      <c r="C98" s="110">
        <v>2212000</v>
      </c>
      <c r="D98" s="43" t="s">
        <v>80</v>
      </c>
      <c r="E98" s="43"/>
      <c r="F98" s="110">
        <v>796</v>
      </c>
      <c r="G98" s="129" t="s">
        <v>17</v>
      </c>
      <c r="H98" s="129">
        <v>2</v>
      </c>
      <c r="I98" s="151">
        <v>98401</v>
      </c>
      <c r="J98" s="83" t="s">
        <v>429</v>
      </c>
      <c r="K98" s="27">
        <v>1560</v>
      </c>
      <c r="L98" s="27"/>
      <c r="M98" s="27"/>
      <c r="N98" s="27"/>
      <c r="O98" s="27"/>
      <c r="P98" s="83"/>
      <c r="Q98" s="83"/>
      <c r="R98" s="24">
        <v>1</v>
      </c>
      <c r="S98" s="27">
        <v>780</v>
      </c>
      <c r="T98" s="187"/>
      <c r="U98" s="188"/>
      <c r="V98" s="27">
        <v>1</v>
      </c>
      <c r="W98" s="27">
        <v>780</v>
      </c>
      <c r="X98" s="167"/>
      <c r="Y98" s="168"/>
      <c r="Z98" s="168"/>
      <c r="AA98" s="168"/>
      <c r="AB98" s="168"/>
      <c r="AC98" s="168"/>
      <c r="AD98" s="168"/>
      <c r="AE98" s="168"/>
    </row>
    <row r="99" spans="1:31" s="141" customFormat="1" x14ac:dyDescent="0.25">
      <c r="A99" s="138">
        <v>10.6</v>
      </c>
      <c r="B99" s="110">
        <v>52.47</v>
      </c>
      <c r="C99" s="110">
        <v>2212000</v>
      </c>
      <c r="D99" s="43" t="s">
        <v>81</v>
      </c>
      <c r="E99" s="43"/>
      <c r="F99" s="110">
        <v>796</v>
      </c>
      <c r="G99" s="129" t="s">
        <v>17</v>
      </c>
      <c r="H99" s="129">
        <v>2</v>
      </c>
      <c r="I99" s="151">
        <v>98401</v>
      </c>
      <c r="J99" s="83" t="s">
        <v>429</v>
      </c>
      <c r="K99" s="27">
        <v>10524</v>
      </c>
      <c r="L99" s="27"/>
      <c r="M99" s="27"/>
      <c r="N99" s="27"/>
      <c r="O99" s="27"/>
      <c r="P99" s="83"/>
      <c r="Q99" s="83"/>
      <c r="R99" s="24">
        <v>1</v>
      </c>
      <c r="S99" s="27">
        <v>5262</v>
      </c>
      <c r="T99" s="187"/>
      <c r="U99" s="188"/>
      <c r="V99" s="27">
        <v>1</v>
      </c>
      <c r="W99" s="27">
        <v>5262</v>
      </c>
      <c r="X99" s="167"/>
      <c r="Y99" s="168"/>
      <c r="Z99" s="168"/>
      <c r="AA99" s="168"/>
      <c r="AB99" s="168"/>
      <c r="AC99" s="168"/>
      <c r="AD99" s="168"/>
      <c r="AE99" s="168"/>
    </row>
    <row r="100" spans="1:31" s="141" customFormat="1" x14ac:dyDescent="0.25">
      <c r="A100" s="138">
        <v>10.7</v>
      </c>
      <c r="B100" s="110">
        <v>52.47</v>
      </c>
      <c r="C100" s="110">
        <v>2212000</v>
      </c>
      <c r="D100" s="43" t="s">
        <v>82</v>
      </c>
      <c r="E100" s="43"/>
      <c r="F100" s="110">
        <v>796</v>
      </c>
      <c r="G100" s="129" t="s">
        <v>17</v>
      </c>
      <c r="H100" s="129">
        <v>2</v>
      </c>
      <c r="I100" s="151">
        <v>98401</v>
      </c>
      <c r="J100" s="83" t="s">
        <v>429</v>
      </c>
      <c r="K100" s="27">
        <v>4508</v>
      </c>
      <c r="L100" s="27"/>
      <c r="M100" s="27"/>
      <c r="N100" s="27"/>
      <c r="O100" s="27"/>
      <c r="P100" s="83"/>
      <c r="Q100" s="83"/>
      <c r="R100" s="24">
        <v>1</v>
      </c>
      <c r="S100" s="27">
        <v>2254</v>
      </c>
      <c r="T100" s="187"/>
      <c r="U100" s="188"/>
      <c r="V100" s="27">
        <v>1</v>
      </c>
      <c r="W100" s="27">
        <v>2254</v>
      </c>
      <c r="X100" s="167"/>
      <c r="Y100" s="168"/>
      <c r="Z100" s="168"/>
      <c r="AA100" s="168"/>
      <c r="AB100" s="168"/>
      <c r="AC100" s="168"/>
      <c r="AD100" s="168"/>
      <c r="AE100" s="168"/>
    </row>
    <row r="101" spans="1:31" s="141" customFormat="1" x14ac:dyDescent="0.25">
      <c r="A101" s="138">
        <v>10.8</v>
      </c>
      <c r="B101" s="110">
        <v>52.47</v>
      </c>
      <c r="C101" s="110">
        <v>2212000</v>
      </c>
      <c r="D101" s="43" t="s">
        <v>83</v>
      </c>
      <c r="E101" s="43"/>
      <c r="F101" s="110">
        <v>796</v>
      </c>
      <c r="G101" s="129" t="s">
        <v>17</v>
      </c>
      <c r="H101" s="129">
        <v>2</v>
      </c>
      <c r="I101" s="151">
        <v>98401</v>
      </c>
      <c r="J101" s="83" t="s">
        <v>429</v>
      </c>
      <c r="K101" s="27">
        <v>1824</v>
      </c>
      <c r="L101" s="27"/>
      <c r="M101" s="27"/>
      <c r="N101" s="27"/>
      <c r="O101" s="27"/>
      <c r="P101" s="83"/>
      <c r="Q101" s="83"/>
      <c r="R101" s="24">
        <v>1</v>
      </c>
      <c r="S101" s="27">
        <v>912</v>
      </c>
      <c r="T101" s="187"/>
      <c r="U101" s="188"/>
      <c r="V101" s="27">
        <v>1</v>
      </c>
      <c r="W101" s="27">
        <v>912</v>
      </c>
      <c r="X101" s="167"/>
      <c r="Y101" s="168"/>
      <c r="Z101" s="168"/>
      <c r="AA101" s="168"/>
      <c r="AB101" s="168"/>
      <c r="AC101" s="168"/>
      <c r="AD101" s="168"/>
      <c r="AE101" s="168"/>
    </row>
    <row r="102" spans="1:31" s="141" customFormat="1" x14ac:dyDescent="0.25">
      <c r="A102" s="138">
        <v>10.9</v>
      </c>
      <c r="B102" s="110">
        <v>52.47</v>
      </c>
      <c r="C102" s="110">
        <v>2212000</v>
      </c>
      <c r="D102" s="43" t="s">
        <v>84</v>
      </c>
      <c r="E102" s="43"/>
      <c r="F102" s="110">
        <v>796</v>
      </c>
      <c r="G102" s="129" t="s">
        <v>17</v>
      </c>
      <c r="H102" s="129">
        <v>2</v>
      </c>
      <c r="I102" s="151">
        <v>98401</v>
      </c>
      <c r="J102" s="83" t="s">
        <v>429</v>
      </c>
      <c r="K102" s="27">
        <v>7512</v>
      </c>
      <c r="L102" s="27"/>
      <c r="M102" s="27"/>
      <c r="N102" s="27"/>
      <c r="O102" s="27"/>
      <c r="P102" s="83"/>
      <c r="Q102" s="83"/>
      <c r="R102" s="24">
        <v>1</v>
      </c>
      <c r="S102" s="27">
        <v>3756</v>
      </c>
      <c r="T102" s="187"/>
      <c r="U102" s="188"/>
      <c r="V102" s="27">
        <v>1</v>
      </c>
      <c r="W102" s="27">
        <v>3756</v>
      </c>
      <c r="X102" s="167"/>
      <c r="Y102" s="168"/>
      <c r="Z102" s="168"/>
      <c r="AA102" s="168"/>
      <c r="AB102" s="168"/>
      <c r="AC102" s="168"/>
      <c r="AD102" s="168"/>
      <c r="AE102" s="168"/>
    </row>
    <row r="103" spans="1:31" s="141" customFormat="1" x14ac:dyDescent="0.25">
      <c r="A103" s="138">
        <v>10.1</v>
      </c>
      <c r="B103" s="110">
        <v>52.47</v>
      </c>
      <c r="C103" s="110">
        <v>2212000</v>
      </c>
      <c r="D103" s="43" t="s">
        <v>85</v>
      </c>
      <c r="E103" s="43"/>
      <c r="F103" s="110">
        <v>796</v>
      </c>
      <c r="G103" s="129" t="s">
        <v>17</v>
      </c>
      <c r="H103" s="129">
        <v>2</v>
      </c>
      <c r="I103" s="151">
        <v>98401</v>
      </c>
      <c r="J103" s="83" t="s">
        <v>429</v>
      </c>
      <c r="K103" s="27">
        <v>1084</v>
      </c>
      <c r="L103" s="27"/>
      <c r="M103" s="27"/>
      <c r="N103" s="27"/>
      <c r="O103" s="27"/>
      <c r="P103" s="83"/>
      <c r="Q103" s="83"/>
      <c r="R103" s="24">
        <v>1</v>
      </c>
      <c r="S103" s="27">
        <v>542</v>
      </c>
      <c r="T103" s="187"/>
      <c r="U103" s="188"/>
      <c r="V103" s="27">
        <v>1</v>
      </c>
      <c r="W103" s="27">
        <v>542</v>
      </c>
      <c r="X103" s="167"/>
      <c r="Y103" s="168"/>
      <c r="Z103" s="168"/>
      <c r="AA103" s="168"/>
      <c r="AB103" s="168"/>
      <c r="AC103" s="168"/>
      <c r="AD103" s="168"/>
      <c r="AE103" s="168"/>
    </row>
    <row r="104" spans="1:31" s="141" customFormat="1" x14ac:dyDescent="0.25">
      <c r="A104" s="138">
        <v>10.11</v>
      </c>
      <c r="B104" s="110">
        <v>52.47</v>
      </c>
      <c r="C104" s="110">
        <v>2212000</v>
      </c>
      <c r="D104" s="43" t="s">
        <v>86</v>
      </c>
      <c r="E104" s="43"/>
      <c r="F104" s="110">
        <v>796</v>
      </c>
      <c r="G104" s="129" t="s">
        <v>17</v>
      </c>
      <c r="H104" s="129">
        <v>2</v>
      </c>
      <c r="I104" s="151">
        <v>98401</v>
      </c>
      <c r="J104" s="83" t="s">
        <v>429</v>
      </c>
      <c r="K104" s="27">
        <v>2928</v>
      </c>
      <c r="L104" s="27"/>
      <c r="M104" s="27"/>
      <c r="N104" s="27"/>
      <c r="O104" s="27"/>
      <c r="P104" s="83"/>
      <c r="Q104" s="83"/>
      <c r="R104" s="24">
        <v>1</v>
      </c>
      <c r="S104" s="27">
        <v>1464</v>
      </c>
      <c r="T104" s="187"/>
      <c r="U104" s="188"/>
      <c r="V104" s="27">
        <v>1</v>
      </c>
      <c r="W104" s="27">
        <v>1464</v>
      </c>
      <c r="X104" s="167"/>
      <c r="Y104" s="168"/>
      <c r="Z104" s="168"/>
      <c r="AA104" s="168"/>
      <c r="AB104" s="168"/>
      <c r="AC104" s="168"/>
      <c r="AD104" s="168"/>
      <c r="AE104" s="168"/>
    </row>
    <row r="105" spans="1:31" s="141" customFormat="1" x14ac:dyDescent="0.25">
      <c r="A105" s="138">
        <v>10.119999999999999</v>
      </c>
      <c r="B105" s="110">
        <v>52.47</v>
      </c>
      <c r="C105" s="110">
        <v>2212000</v>
      </c>
      <c r="D105" s="43" t="s">
        <v>87</v>
      </c>
      <c r="E105" s="43"/>
      <c r="F105" s="110">
        <v>796</v>
      </c>
      <c r="G105" s="129" t="s">
        <v>17</v>
      </c>
      <c r="H105" s="129">
        <v>1</v>
      </c>
      <c r="I105" s="151">
        <v>98401</v>
      </c>
      <c r="J105" s="83" t="s">
        <v>429</v>
      </c>
      <c r="K105" s="27">
        <v>15840</v>
      </c>
      <c r="L105" s="27"/>
      <c r="M105" s="27"/>
      <c r="N105" s="27"/>
      <c r="O105" s="27"/>
      <c r="P105" s="83"/>
      <c r="Q105" s="83"/>
      <c r="R105" s="24"/>
      <c r="S105" s="27"/>
      <c r="T105" s="187">
        <v>1</v>
      </c>
      <c r="U105" s="188">
        <v>15840</v>
      </c>
      <c r="V105" s="27"/>
      <c r="W105" s="27"/>
      <c r="X105" s="167"/>
      <c r="Y105" s="168"/>
      <c r="Z105" s="168"/>
      <c r="AA105" s="168"/>
      <c r="AB105" s="168"/>
      <c r="AC105" s="168"/>
      <c r="AD105" s="168"/>
      <c r="AE105" s="168"/>
    </row>
    <row r="106" spans="1:31" s="141" customFormat="1" x14ac:dyDescent="0.25">
      <c r="A106" s="138">
        <v>10.130000000000001</v>
      </c>
      <c r="B106" s="110">
        <v>52.47</v>
      </c>
      <c r="C106" s="110">
        <v>2212000</v>
      </c>
      <c r="D106" s="43" t="s">
        <v>88</v>
      </c>
      <c r="E106" s="43"/>
      <c r="F106" s="110">
        <v>796</v>
      </c>
      <c r="G106" s="129" t="s">
        <v>17</v>
      </c>
      <c r="H106" s="129">
        <v>1</v>
      </c>
      <c r="I106" s="151">
        <v>98401</v>
      </c>
      <c r="J106" s="83" t="s">
        <v>429</v>
      </c>
      <c r="K106" s="24">
        <v>4200</v>
      </c>
      <c r="L106" s="24"/>
      <c r="M106" s="24"/>
      <c r="N106" s="24"/>
      <c r="O106" s="24"/>
      <c r="P106" s="83"/>
      <c r="Q106" s="83"/>
      <c r="R106" s="24"/>
      <c r="S106" s="83"/>
      <c r="T106" s="191">
        <v>1</v>
      </c>
      <c r="U106" s="83">
        <v>4200</v>
      </c>
      <c r="V106" s="24"/>
      <c r="W106" s="24"/>
      <c r="X106" s="24">
        <v>3600</v>
      </c>
      <c r="Y106" s="168"/>
      <c r="Z106" s="168"/>
      <c r="AA106" s="168"/>
      <c r="AB106" s="168"/>
      <c r="AC106" s="168"/>
      <c r="AD106" s="168"/>
      <c r="AE106" s="168"/>
    </row>
    <row r="107" spans="1:31" s="141" customFormat="1" x14ac:dyDescent="0.25">
      <c r="A107" s="138">
        <v>10.14</v>
      </c>
      <c r="B107" s="110">
        <v>52.47</v>
      </c>
      <c r="C107" s="110">
        <v>2212000</v>
      </c>
      <c r="D107" s="43" t="s">
        <v>89</v>
      </c>
      <c r="E107" s="43"/>
      <c r="F107" s="110">
        <v>796</v>
      </c>
      <c r="G107" s="129" t="s">
        <v>17</v>
      </c>
      <c r="H107" s="129">
        <v>3</v>
      </c>
      <c r="I107" s="151">
        <v>98401</v>
      </c>
      <c r="J107" s="83" t="s">
        <v>429</v>
      </c>
      <c r="K107" s="24">
        <v>21420</v>
      </c>
      <c r="L107" s="24"/>
      <c r="M107" s="24"/>
      <c r="N107" s="24"/>
      <c r="O107" s="24"/>
      <c r="P107" s="83"/>
      <c r="Q107" s="83"/>
      <c r="R107" s="24"/>
      <c r="S107" s="24"/>
      <c r="T107" s="83"/>
      <c r="U107" s="83"/>
      <c r="V107" s="24">
        <v>3</v>
      </c>
      <c r="W107" s="24">
        <v>21420</v>
      </c>
      <c r="X107" s="24">
        <v>21420</v>
      </c>
      <c r="Y107" s="168"/>
      <c r="Z107" s="168"/>
      <c r="AA107" s="168"/>
      <c r="AB107" s="168"/>
      <c r="AC107" s="168"/>
      <c r="AD107" s="168"/>
      <c r="AE107" s="168"/>
    </row>
    <row r="108" spans="1:31" s="141" customFormat="1" x14ac:dyDescent="0.25">
      <c r="A108" s="138">
        <v>10.15</v>
      </c>
      <c r="B108" s="110">
        <v>52.47</v>
      </c>
      <c r="C108" s="110">
        <v>2212000</v>
      </c>
      <c r="D108" s="43" t="s">
        <v>90</v>
      </c>
      <c r="E108" s="43"/>
      <c r="F108" s="110">
        <v>796</v>
      </c>
      <c r="G108" s="129" t="s">
        <v>17</v>
      </c>
      <c r="H108" s="129">
        <v>3</v>
      </c>
      <c r="I108" s="151">
        <v>98401</v>
      </c>
      <c r="J108" s="83" t="s">
        <v>429</v>
      </c>
      <c r="K108" s="24">
        <v>10800</v>
      </c>
      <c r="L108" s="24"/>
      <c r="M108" s="24"/>
      <c r="N108" s="24"/>
      <c r="O108" s="24"/>
      <c r="P108" s="83"/>
      <c r="Q108" s="83"/>
      <c r="R108" s="24"/>
      <c r="S108" s="24"/>
      <c r="T108" s="83"/>
      <c r="U108" s="83"/>
      <c r="V108" s="24">
        <v>3</v>
      </c>
      <c r="W108" s="24">
        <v>10800</v>
      </c>
      <c r="X108" s="24">
        <v>10800</v>
      </c>
      <c r="Y108" s="168"/>
      <c r="Z108" s="168"/>
      <c r="AA108" s="168"/>
      <c r="AB108" s="168"/>
      <c r="AC108" s="168"/>
      <c r="AD108" s="168"/>
      <c r="AE108" s="168"/>
    </row>
    <row r="109" spans="1:31" s="141" customFormat="1" x14ac:dyDescent="0.25">
      <c r="A109" s="138">
        <v>10.16</v>
      </c>
      <c r="B109" s="110">
        <v>52.47</v>
      </c>
      <c r="C109" s="110">
        <v>2212000</v>
      </c>
      <c r="D109" s="43" t="s">
        <v>91</v>
      </c>
      <c r="E109" s="43"/>
      <c r="F109" s="110">
        <v>796</v>
      </c>
      <c r="G109" s="129" t="s">
        <v>17</v>
      </c>
      <c r="H109" s="129">
        <v>1</v>
      </c>
      <c r="I109" s="151">
        <v>98401</v>
      </c>
      <c r="J109" s="83" t="s">
        <v>429</v>
      </c>
      <c r="K109" s="378">
        <v>53098.5</v>
      </c>
      <c r="L109" s="192"/>
      <c r="M109" s="192"/>
      <c r="N109" s="192"/>
      <c r="O109" s="192"/>
      <c r="P109" s="83"/>
      <c r="Q109" s="83"/>
      <c r="R109" s="24"/>
      <c r="S109" s="24"/>
      <c r="T109" s="83"/>
      <c r="U109" s="83"/>
      <c r="V109" s="24">
        <v>1</v>
      </c>
      <c r="W109" s="378">
        <v>53098.5</v>
      </c>
      <c r="X109" s="378">
        <v>53098.5</v>
      </c>
      <c r="Y109" s="168"/>
      <c r="Z109" s="168"/>
      <c r="AA109" s="168"/>
      <c r="AB109" s="168"/>
      <c r="AC109" s="168"/>
      <c r="AD109" s="168"/>
      <c r="AE109" s="168"/>
    </row>
    <row r="110" spans="1:31" s="141" customFormat="1" x14ac:dyDescent="0.25">
      <c r="A110" s="138">
        <v>10.17</v>
      </c>
      <c r="B110" s="110">
        <v>52.47</v>
      </c>
      <c r="C110" s="110">
        <v>2212000</v>
      </c>
      <c r="D110" s="43" t="s">
        <v>92</v>
      </c>
      <c r="E110" s="43"/>
      <c r="F110" s="110">
        <v>796</v>
      </c>
      <c r="G110" s="129" t="s">
        <v>17</v>
      </c>
      <c r="H110" s="129">
        <v>1</v>
      </c>
      <c r="I110" s="151">
        <v>98401</v>
      </c>
      <c r="J110" s="83" t="s">
        <v>429</v>
      </c>
      <c r="K110" s="379"/>
      <c r="L110" s="193"/>
      <c r="M110" s="193"/>
      <c r="N110" s="193"/>
      <c r="O110" s="193"/>
      <c r="P110" s="83"/>
      <c r="Q110" s="83"/>
      <c r="R110" s="24"/>
      <c r="S110" s="24"/>
      <c r="T110" s="83"/>
      <c r="U110" s="83"/>
      <c r="V110" s="24">
        <v>1</v>
      </c>
      <c r="W110" s="379"/>
      <c r="X110" s="379"/>
      <c r="Y110" s="168"/>
      <c r="Z110" s="168"/>
      <c r="AA110" s="168"/>
      <c r="AB110" s="168"/>
      <c r="AC110" s="168"/>
      <c r="AD110" s="168"/>
      <c r="AE110" s="168"/>
    </row>
    <row r="111" spans="1:31" s="141" customFormat="1" x14ac:dyDescent="0.25">
      <c r="A111" s="138">
        <v>10.18</v>
      </c>
      <c r="B111" s="110">
        <v>52.47</v>
      </c>
      <c r="C111" s="110">
        <v>2212000</v>
      </c>
      <c r="D111" s="43" t="s">
        <v>93</v>
      </c>
      <c r="E111" s="43"/>
      <c r="F111" s="110">
        <v>796</v>
      </c>
      <c r="G111" s="129" t="s">
        <v>17</v>
      </c>
      <c r="H111" s="129">
        <v>1</v>
      </c>
      <c r="I111" s="151">
        <v>98401</v>
      </c>
      <c r="J111" s="83" t="s">
        <v>429</v>
      </c>
      <c r="K111" s="379"/>
      <c r="L111" s="193"/>
      <c r="M111" s="193"/>
      <c r="N111" s="193"/>
      <c r="O111" s="193"/>
      <c r="P111" s="83"/>
      <c r="Q111" s="83"/>
      <c r="R111" s="24"/>
      <c r="S111" s="24"/>
      <c r="T111" s="83"/>
      <c r="U111" s="83"/>
      <c r="V111" s="24">
        <v>1</v>
      </c>
      <c r="W111" s="379"/>
      <c r="X111" s="379"/>
      <c r="Y111" s="168"/>
      <c r="Z111" s="168"/>
      <c r="AA111" s="168"/>
      <c r="AB111" s="168"/>
      <c r="AC111" s="168"/>
      <c r="AD111" s="168"/>
      <c r="AE111" s="168"/>
    </row>
    <row r="112" spans="1:31" s="141" customFormat="1" x14ac:dyDescent="0.25">
      <c r="A112" s="138">
        <v>10.19</v>
      </c>
      <c r="B112" s="110">
        <v>52.47</v>
      </c>
      <c r="C112" s="110">
        <v>2212000</v>
      </c>
      <c r="D112" s="43" t="s">
        <v>94</v>
      </c>
      <c r="E112" s="43"/>
      <c r="F112" s="110">
        <v>796</v>
      </c>
      <c r="G112" s="129" t="s">
        <v>17</v>
      </c>
      <c r="H112" s="129">
        <v>1</v>
      </c>
      <c r="I112" s="151">
        <v>98401</v>
      </c>
      <c r="J112" s="83" t="s">
        <v>429</v>
      </c>
      <c r="K112" s="379"/>
      <c r="L112" s="193"/>
      <c r="M112" s="193"/>
      <c r="N112" s="193"/>
      <c r="O112" s="193"/>
      <c r="P112" s="83"/>
      <c r="Q112" s="83"/>
      <c r="R112" s="24"/>
      <c r="S112" s="24"/>
      <c r="T112" s="83"/>
      <c r="U112" s="83"/>
      <c r="V112" s="24">
        <v>1</v>
      </c>
      <c r="W112" s="379"/>
      <c r="X112" s="379"/>
      <c r="Y112" s="168"/>
      <c r="Z112" s="168"/>
      <c r="AA112" s="168"/>
      <c r="AB112" s="168"/>
      <c r="AC112" s="168"/>
      <c r="AD112" s="168"/>
      <c r="AE112" s="168"/>
    </row>
    <row r="113" spans="1:256" s="141" customFormat="1" x14ac:dyDescent="0.25">
      <c r="A113" s="138">
        <v>10.199999999999999</v>
      </c>
      <c r="B113" s="110">
        <v>52.47</v>
      </c>
      <c r="C113" s="110">
        <v>2212000</v>
      </c>
      <c r="D113" s="43" t="s">
        <v>95</v>
      </c>
      <c r="E113" s="43"/>
      <c r="F113" s="110">
        <v>796</v>
      </c>
      <c r="G113" s="129" t="s">
        <v>17</v>
      </c>
      <c r="H113" s="129">
        <v>1</v>
      </c>
      <c r="I113" s="151">
        <v>98401</v>
      </c>
      <c r="J113" s="83" t="s">
        <v>429</v>
      </c>
      <c r="K113" s="379"/>
      <c r="L113" s="193"/>
      <c r="M113" s="193"/>
      <c r="N113" s="193"/>
      <c r="O113" s="193"/>
      <c r="P113" s="83"/>
      <c r="Q113" s="83"/>
      <c r="R113" s="24"/>
      <c r="S113" s="24"/>
      <c r="T113" s="83"/>
      <c r="U113" s="83"/>
      <c r="V113" s="24">
        <v>1</v>
      </c>
      <c r="W113" s="379"/>
      <c r="X113" s="379"/>
      <c r="Y113" s="168"/>
      <c r="Z113" s="168"/>
      <c r="AA113" s="168"/>
      <c r="AB113" s="168"/>
      <c r="AC113" s="168"/>
      <c r="AD113" s="168"/>
      <c r="AE113" s="168"/>
    </row>
    <row r="114" spans="1:256" s="141" customFormat="1" x14ac:dyDescent="0.25">
      <c r="A114" s="138">
        <v>10.210000000000001</v>
      </c>
      <c r="B114" s="110">
        <v>52.47</v>
      </c>
      <c r="C114" s="110">
        <v>2212000</v>
      </c>
      <c r="D114" s="43" t="s">
        <v>96</v>
      </c>
      <c r="E114" s="43"/>
      <c r="F114" s="110">
        <v>796</v>
      </c>
      <c r="G114" s="129" t="s">
        <v>17</v>
      </c>
      <c r="H114" s="129">
        <v>1</v>
      </c>
      <c r="I114" s="151">
        <v>98401</v>
      </c>
      <c r="J114" s="83" t="s">
        <v>429</v>
      </c>
      <c r="K114" s="380"/>
      <c r="L114" s="194"/>
      <c r="M114" s="194"/>
      <c r="N114" s="194"/>
      <c r="O114" s="194"/>
      <c r="P114" s="83"/>
      <c r="Q114" s="83"/>
      <c r="R114" s="24"/>
      <c r="S114" s="24"/>
      <c r="T114" s="83"/>
      <c r="U114" s="83"/>
      <c r="V114" s="24">
        <v>1</v>
      </c>
      <c r="W114" s="380"/>
      <c r="X114" s="380"/>
      <c r="Y114" s="168"/>
      <c r="Z114" s="168"/>
      <c r="AA114" s="168"/>
      <c r="AB114" s="168"/>
      <c r="AC114" s="168"/>
      <c r="AD114" s="168"/>
      <c r="AE114" s="168"/>
    </row>
    <row r="115" spans="1:256" s="164" customFormat="1" ht="14.25" x14ac:dyDescent="0.2">
      <c r="A115" s="140">
        <v>11</v>
      </c>
      <c r="B115" s="156"/>
      <c r="C115" s="157"/>
      <c r="D115" s="158" t="s">
        <v>344</v>
      </c>
      <c r="E115" s="158"/>
      <c r="F115" s="159"/>
      <c r="G115" s="160"/>
      <c r="H115" s="160"/>
      <c r="I115" s="161"/>
      <c r="J115" s="162"/>
      <c r="K115" s="162"/>
      <c r="L115" s="162"/>
      <c r="M115" s="162"/>
      <c r="N115" s="162"/>
      <c r="O115" s="162"/>
      <c r="P115" s="162"/>
      <c r="Q115" s="162"/>
      <c r="R115" s="162"/>
      <c r="S115" s="162"/>
      <c r="T115" s="162"/>
      <c r="U115" s="162"/>
      <c r="V115" s="162"/>
      <c r="W115" s="162"/>
      <c r="X115" s="163"/>
      <c r="Y115" s="140"/>
      <c r="Z115" s="156"/>
      <c r="AA115" s="157"/>
      <c r="AB115" s="158"/>
      <c r="AC115" s="158"/>
      <c r="AD115" s="159"/>
      <c r="AE115" s="160"/>
      <c r="AF115" s="160"/>
      <c r="AG115" s="162"/>
      <c r="AH115" s="162"/>
      <c r="AI115" s="162"/>
      <c r="AJ115" s="162"/>
      <c r="AK115" s="162"/>
      <c r="AL115" s="162"/>
      <c r="AM115" s="162"/>
      <c r="AN115" s="162"/>
      <c r="AO115" s="162"/>
      <c r="AP115" s="162"/>
      <c r="AQ115" s="162"/>
      <c r="AR115" s="162"/>
      <c r="AS115" s="162"/>
      <c r="AT115" s="162"/>
      <c r="AU115" s="162"/>
      <c r="AV115" s="163"/>
      <c r="AW115" s="140"/>
      <c r="AX115" s="156"/>
      <c r="AY115" s="157"/>
      <c r="AZ115" s="158"/>
      <c r="BA115" s="158"/>
      <c r="BB115" s="159"/>
      <c r="BC115" s="160"/>
      <c r="BD115" s="160"/>
      <c r="BE115" s="162"/>
      <c r="BF115" s="162"/>
      <c r="BG115" s="162"/>
      <c r="BH115" s="162"/>
      <c r="BI115" s="162"/>
      <c r="BJ115" s="162"/>
      <c r="BK115" s="162"/>
      <c r="BL115" s="162"/>
      <c r="BM115" s="162"/>
      <c r="BN115" s="162"/>
      <c r="BO115" s="162"/>
      <c r="BP115" s="162"/>
      <c r="BQ115" s="162"/>
      <c r="BR115" s="162"/>
      <c r="BS115" s="162"/>
      <c r="BT115" s="163"/>
      <c r="BU115" s="140"/>
      <c r="BV115" s="156"/>
      <c r="BW115" s="157"/>
      <c r="BX115" s="158"/>
      <c r="BY115" s="158"/>
      <c r="BZ115" s="159"/>
      <c r="CA115" s="160"/>
      <c r="CB115" s="160"/>
      <c r="CC115" s="162"/>
      <c r="CD115" s="162"/>
      <c r="CE115" s="162"/>
      <c r="CF115" s="162"/>
      <c r="CG115" s="162"/>
      <c r="CH115" s="162"/>
      <c r="CI115" s="162"/>
      <c r="CJ115" s="162"/>
      <c r="CK115" s="162"/>
      <c r="CL115" s="162"/>
      <c r="CM115" s="162"/>
      <c r="CN115" s="162"/>
      <c r="CO115" s="162"/>
      <c r="CP115" s="162"/>
      <c r="CQ115" s="162"/>
      <c r="CR115" s="163"/>
      <c r="CS115" s="140"/>
      <c r="CT115" s="156"/>
      <c r="CU115" s="157"/>
      <c r="CV115" s="158"/>
      <c r="CW115" s="158"/>
      <c r="CX115" s="159"/>
      <c r="CY115" s="160"/>
      <c r="CZ115" s="160"/>
      <c r="DA115" s="162"/>
      <c r="DB115" s="162"/>
      <c r="DC115" s="162"/>
      <c r="DD115" s="162"/>
      <c r="DE115" s="162"/>
      <c r="DF115" s="162"/>
      <c r="DG115" s="162"/>
      <c r="DH115" s="162"/>
      <c r="DI115" s="162"/>
      <c r="DJ115" s="162"/>
      <c r="DK115" s="162"/>
      <c r="DL115" s="162"/>
      <c r="DM115" s="162"/>
      <c r="DN115" s="162"/>
      <c r="DO115" s="162"/>
      <c r="DP115" s="163"/>
      <c r="DQ115" s="140"/>
      <c r="DR115" s="156"/>
      <c r="DS115" s="157"/>
      <c r="DT115" s="158"/>
      <c r="DU115" s="158"/>
      <c r="DV115" s="159"/>
      <c r="DW115" s="160"/>
      <c r="DX115" s="160"/>
      <c r="DY115" s="162"/>
      <c r="DZ115" s="162"/>
      <c r="EA115" s="162"/>
      <c r="EB115" s="162"/>
      <c r="EC115" s="162"/>
      <c r="ED115" s="162"/>
      <c r="EE115" s="162"/>
      <c r="EF115" s="162"/>
      <c r="EG115" s="162"/>
      <c r="EH115" s="162"/>
      <c r="EI115" s="162"/>
      <c r="EJ115" s="162"/>
      <c r="EK115" s="162"/>
      <c r="EL115" s="162"/>
      <c r="EM115" s="162"/>
      <c r="EN115" s="163"/>
      <c r="EO115" s="140"/>
      <c r="EP115" s="156"/>
      <c r="EQ115" s="157"/>
      <c r="ER115" s="158"/>
      <c r="ES115" s="158"/>
      <c r="ET115" s="159"/>
      <c r="EU115" s="160"/>
      <c r="EV115" s="160"/>
      <c r="EW115" s="162"/>
      <c r="EX115" s="162"/>
      <c r="EY115" s="162"/>
      <c r="EZ115" s="162"/>
      <c r="FA115" s="162"/>
      <c r="FB115" s="162"/>
      <c r="FC115" s="162"/>
      <c r="FD115" s="162"/>
      <c r="FE115" s="162"/>
      <c r="FF115" s="162"/>
      <c r="FG115" s="162"/>
      <c r="FH115" s="162"/>
      <c r="FI115" s="162"/>
      <c r="FJ115" s="162"/>
      <c r="FK115" s="162"/>
      <c r="FL115" s="163"/>
      <c r="FM115" s="140"/>
      <c r="FN115" s="156"/>
      <c r="FO115" s="157"/>
      <c r="FP115" s="158"/>
      <c r="FQ115" s="158"/>
      <c r="FR115" s="159"/>
      <c r="FS115" s="160"/>
      <c r="FT115" s="160"/>
      <c r="FU115" s="162"/>
      <c r="FV115" s="162"/>
      <c r="FW115" s="162"/>
      <c r="FX115" s="162"/>
      <c r="FY115" s="162"/>
      <c r="FZ115" s="162"/>
      <c r="GA115" s="162"/>
      <c r="GB115" s="162"/>
      <c r="GC115" s="162"/>
      <c r="GD115" s="162"/>
      <c r="GE115" s="162"/>
      <c r="GF115" s="162"/>
      <c r="GG115" s="162"/>
      <c r="GH115" s="162"/>
      <c r="GI115" s="162"/>
      <c r="GJ115" s="163"/>
      <c r="GK115" s="140"/>
      <c r="GL115" s="156"/>
      <c r="GM115" s="157"/>
      <c r="GN115" s="158"/>
      <c r="GO115" s="158"/>
      <c r="GP115" s="159"/>
      <c r="GQ115" s="160"/>
      <c r="GR115" s="160"/>
      <c r="GS115" s="162"/>
      <c r="GT115" s="162"/>
      <c r="GU115" s="162"/>
      <c r="GV115" s="162"/>
      <c r="GW115" s="162"/>
      <c r="GX115" s="162"/>
      <c r="GY115" s="162"/>
      <c r="GZ115" s="162"/>
      <c r="HA115" s="162"/>
      <c r="HB115" s="162"/>
      <c r="HC115" s="162"/>
      <c r="HD115" s="162"/>
      <c r="HE115" s="162"/>
      <c r="HF115" s="162"/>
      <c r="HG115" s="162"/>
      <c r="HH115" s="163"/>
      <c r="HI115" s="140"/>
      <c r="HJ115" s="156"/>
      <c r="HK115" s="157"/>
      <c r="HL115" s="158"/>
      <c r="HM115" s="158"/>
      <c r="HN115" s="159"/>
      <c r="HO115" s="160"/>
      <c r="HP115" s="160"/>
      <c r="HQ115" s="162"/>
      <c r="HR115" s="162"/>
      <c r="HS115" s="162"/>
      <c r="HT115" s="162"/>
      <c r="HU115" s="162"/>
      <c r="HV115" s="162"/>
      <c r="HW115" s="162"/>
      <c r="HX115" s="162"/>
      <c r="HY115" s="162"/>
      <c r="HZ115" s="162"/>
      <c r="IA115" s="162"/>
      <c r="IB115" s="162"/>
      <c r="IC115" s="162"/>
      <c r="ID115" s="162"/>
      <c r="IE115" s="162"/>
      <c r="IF115" s="163"/>
      <c r="IG115" s="140"/>
      <c r="IH115" s="156"/>
      <c r="II115" s="157"/>
      <c r="IJ115" s="158"/>
      <c r="IK115" s="158"/>
      <c r="IL115" s="159"/>
      <c r="IM115" s="160"/>
      <c r="IN115" s="160"/>
      <c r="IO115" s="162"/>
      <c r="IP115" s="162"/>
      <c r="IQ115" s="162"/>
      <c r="IR115" s="162"/>
      <c r="IS115" s="162"/>
      <c r="IT115" s="162"/>
      <c r="IU115" s="162"/>
      <c r="IV115" s="162"/>
    </row>
    <row r="116" spans="1:256" s="141" customFormat="1" x14ac:dyDescent="0.25">
      <c r="A116" s="138">
        <v>11.1</v>
      </c>
      <c r="B116" s="110">
        <v>64</v>
      </c>
      <c r="C116" s="110">
        <v>64</v>
      </c>
      <c r="D116" s="43" t="s">
        <v>97</v>
      </c>
      <c r="E116" s="43"/>
      <c r="F116" s="11">
        <v>362</v>
      </c>
      <c r="G116" s="129" t="s">
        <v>22</v>
      </c>
      <c r="H116" s="129">
        <v>12</v>
      </c>
      <c r="I116" s="151">
        <v>98401</v>
      </c>
      <c r="J116" s="83" t="s">
        <v>429</v>
      </c>
      <c r="K116" s="24">
        <v>370800</v>
      </c>
      <c r="L116" s="24"/>
      <c r="M116" s="24"/>
      <c r="N116" s="24"/>
      <c r="O116" s="24"/>
      <c r="P116" s="83">
        <v>12</v>
      </c>
      <c r="Q116" s="83">
        <v>170800</v>
      </c>
      <c r="R116" s="83"/>
      <c r="S116" s="83"/>
      <c r="T116" s="83"/>
      <c r="U116" s="83"/>
      <c r="V116" s="83">
        <v>12</v>
      </c>
      <c r="W116" s="83">
        <v>200000</v>
      </c>
      <c r="X116" s="167"/>
      <c r="Y116" s="168"/>
      <c r="Z116" s="168"/>
      <c r="AA116" s="168"/>
      <c r="AB116" s="168"/>
      <c r="AC116" s="168"/>
      <c r="AD116" s="168"/>
      <c r="AE116" s="168"/>
    </row>
    <row r="117" spans="1:256" s="141" customFormat="1" ht="60" x14ac:dyDescent="0.25">
      <c r="A117" s="138">
        <v>11.2</v>
      </c>
      <c r="B117" s="110">
        <v>64</v>
      </c>
      <c r="C117" s="110">
        <v>64</v>
      </c>
      <c r="D117" s="43" t="s">
        <v>98</v>
      </c>
      <c r="E117" s="43"/>
      <c r="F117" s="11">
        <v>362</v>
      </c>
      <c r="G117" s="129" t="s">
        <v>22</v>
      </c>
      <c r="H117" s="129">
        <v>12</v>
      </c>
      <c r="I117" s="151">
        <v>98200</v>
      </c>
      <c r="J117" s="83" t="s">
        <v>457</v>
      </c>
      <c r="K117" s="24">
        <v>1756580.82706</v>
      </c>
      <c r="L117" s="24"/>
      <c r="M117" s="24"/>
      <c r="N117" s="80" t="s">
        <v>448</v>
      </c>
      <c r="O117" s="24"/>
      <c r="P117" s="83">
        <v>12</v>
      </c>
      <c r="Q117" s="83">
        <v>1756581</v>
      </c>
      <c r="R117" s="83"/>
      <c r="S117" s="83"/>
      <c r="T117" s="83"/>
      <c r="U117" s="83"/>
      <c r="V117" s="83"/>
      <c r="W117" s="83"/>
      <c r="X117" s="167"/>
      <c r="Y117" s="168"/>
      <c r="Z117" s="168"/>
      <c r="AA117" s="168"/>
      <c r="AB117" s="168"/>
      <c r="AC117" s="168"/>
      <c r="AD117" s="168"/>
      <c r="AE117" s="168"/>
    </row>
    <row r="118" spans="1:256" s="141" customFormat="1" ht="60" x14ac:dyDescent="0.25">
      <c r="A118" s="138">
        <v>11.3</v>
      </c>
      <c r="B118" s="110" t="s">
        <v>465</v>
      </c>
      <c r="C118" s="110">
        <v>7290000</v>
      </c>
      <c r="D118" s="43" t="s">
        <v>99</v>
      </c>
      <c r="E118" s="43"/>
      <c r="F118" s="11">
        <v>362</v>
      </c>
      <c r="G118" s="129" t="s">
        <v>22</v>
      </c>
      <c r="H118" s="129">
        <v>12</v>
      </c>
      <c r="I118" s="151">
        <v>98200</v>
      </c>
      <c r="J118" s="83" t="s">
        <v>457</v>
      </c>
      <c r="K118" s="24">
        <v>1502531</v>
      </c>
      <c r="L118" s="24"/>
      <c r="M118" s="24"/>
      <c r="N118" s="24"/>
      <c r="O118" s="24"/>
      <c r="P118" s="83">
        <v>12</v>
      </c>
      <c r="Q118" s="83">
        <v>702531</v>
      </c>
      <c r="R118" s="83"/>
      <c r="S118" s="83"/>
      <c r="T118" s="83"/>
      <c r="U118" s="83"/>
      <c r="V118" s="83">
        <v>12</v>
      </c>
      <c r="W118" s="83">
        <v>800000</v>
      </c>
      <c r="X118" s="167"/>
      <c r="Y118" s="168"/>
      <c r="Z118" s="168"/>
      <c r="AA118" s="168"/>
      <c r="AB118" s="168"/>
      <c r="AC118" s="168"/>
      <c r="AD118" s="168"/>
      <c r="AE118" s="168"/>
    </row>
    <row r="119" spans="1:256" s="141" customFormat="1" ht="60" x14ac:dyDescent="0.25">
      <c r="A119" s="138">
        <v>11.4</v>
      </c>
      <c r="B119" s="110" t="s">
        <v>465</v>
      </c>
      <c r="C119" s="110">
        <v>7290000</v>
      </c>
      <c r="D119" s="43" t="s">
        <v>100</v>
      </c>
      <c r="E119" s="43"/>
      <c r="F119" s="110">
        <v>796</v>
      </c>
      <c r="G119" s="129" t="s">
        <v>17</v>
      </c>
      <c r="H119" s="129">
        <v>17</v>
      </c>
      <c r="I119" s="151">
        <v>98200</v>
      </c>
      <c r="J119" s="83" t="s">
        <v>457</v>
      </c>
      <c r="K119" s="24">
        <v>50150</v>
      </c>
      <c r="L119" s="24"/>
      <c r="M119" s="24"/>
      <c r="N119" s="80" t="s">
        <v>448</v>
      </c>
      <c r="O119" s="24"/>
      <c r="P119" s="24">
        <v>15</v>
      </c>
      <c r="Q119" s="24">
        <v>50150</v>
      </c>
      <c r="R119" s="83"/>
      <c r="S119" s="83"/>
      <c r="T119" s="83"/>
      <c r="U119" s="83"/>
      <c r="V119" s="83"/>
      <c r="W119" s="83"/>
      <c r="X119" s="167"/>
      <c r="Y119" s="168"/>
      <c r="Z119" s="168"/>
      <c r="AA119" s="168"/>
      <c r="AB119" s="168"/>
      <c r="AC119" s="168"/>
      <c r="AD119" s="168"/>
      <c r="AE119" s="168"/>
    </row>
    <row r="120" spans="1:256" s="141" customFormat="1" ht="60" x14ac:dyDescent="0.25">
      <c r="A120" s="138">
        <v>11.5</v>
      </c>
      <c r="B120" s="110">
        <v>64.099999999999994</v>
      </c>
      <c r="C120" s="110">
        <v>64</v>
      </c>
      <c r="D120" s="43" t="s">
        <v>356</v>
      </c>
      <c r="E120" s="43"/>
      <c r="F120" s="11"/>
      <c r="G120" s="129"/>
      <c r="H120" s="129"/>
      <c r="I120" s="151">
        <v>98200</v>
      </c>
      <c r="J120" s="83" t="s">
        <v>457</v>
      </c>
      <c r="K120" s="24">
        <v>80000</v>
      </c>
      <c r="L120" s="24"/>
      <c r="M120" s="24"/>
      <c r="N120" s="24"/>
      <c r="O120" s="24"/>
      <c r="P120" s="24"/>
      <c r="Q120" s="24">
        <v>20000</v>
      </c>
      <c r="R120" s="83"/>
      <c r="S120" s="83">
        <v>20000</v>
      </c>
      <c r="T120" s="83"/>
      <c r="U120" s="83">
        <v>20000</v>
      </c>
      <c r="V120" s="83"/>
      <c r="W120" s="83">
        <v>20000</v>
      </c>
      <c r="X120" s="167"/>
      <c r="Y120" s="168"/>
      <c r="Z120" s="168"/>
      <c r="AA120" s="168"/>
      <c r="AB120" s="168"/>
      <c r="AC120" s="168"/>
      <c r="AD120" s="168"/>
      <c r="AE120" s="168"/>
    </row>
    <row r="121" spans="1:256" s="164" customFormat="1" ht="14.25" x14ac:dyDescent="0.2">
      <c r="A121" s="140">
        <v>12</v>
      </c>
      <c r="B121" s="156"/>
      <c r="C121" s="157"/>
      <c r="D121" s="158" t="s">
        <v>101</v>
      </c>
      <c r="E121" s="158"/>
      <c r="F121" s="159"/>
      <c r="G121" s="160"/>
      <c r="H121" s="160"/>
      <c r="I121" s="161"/>
      <c r="J121" s="162"/>
      <c r="K121" s="162"/>
      <c r="L121" s="162"/>
      <c r="M121" s="162"/>
      <c r="N121" s="162"/>
      <c r="O121" s="162"/>
      <c r="P121" s="162"/>
      <c r="Q121" s="162"/>
      <c r="R121" s="162"/>
      <c r="S121" s="162"/>
      <c r="T121" s="162"/>
      <c r="U121" s="162"/>
      <c r="V121" s="162"/>
      <c r="W121" s="162"/>
      <c r="X121" s="163"/>
      <c r="Y121" s="140"/>
      <c r="Z121" s="156"/>
      <c r="AA121" s="157"/>
      <c r="AB121" s="158"/>
      <c r="AC121" s="158"/>
      <c r="AD121" s="159"/>
      <c r="AE121" s="160"/>
      <c r="AF121" s="160"/>
      <c r="AG121" s="162"/>
      <c r="AH121" s="162"/>
      <c r="AI121" s="162"/>
      <c r="AJ121" s="162"/>
      <c r="AK121" s="162"/>
      <c r="AL121" s="162"/>
      <c r="AM121" s="162"/>
      <c r="AN121" s="162"/>
      <c r="AO121" s="162"/>
      <c r="AP121" s="162"/>
      <c r="AQ121" s="162"/>
      <c r="AR121" s="162"/>
      <c r="AS121" s="162"/>
      <c r="AT121" s="162"/>
      <c r="AU121" s="162"/>
      <c r="AV121" s="163"/>
      <c r="AW121" s="140"/>
      <c r="AX121" s="156"/>
      <c r="AY121" s="157"/>
      <c r="AZ121" s="158"/>
      <c r="BA121" s="158"/>
      <c r="BB121" s="159"/>
      <c r="BC121" s="160"/>
      <c r="BD121" s="160"/>
      <c r="BE121" s="162"/>
      <c r="BF121" s="162"/>
      <c r="BG121" s="162"/>
      <c r="BH121" s="162"/>
      <c r="BI121" s="162"/>
      <c r="BJ121" s="162"/>
      <c r="BK121" s="162"/>
      <c r="BL121" s="162"/>
      <c r="BM121" s="162"/>
      <c r="BN121" s="162"/>
      <c r="BO121" s="162"/>
      <c r="BP121" s="162"/>
      <c r="BQ121" s="162"/>
      <c r="BR121" s="162"/>
      <c r="BS121" s="162"/>
      <c r="BT121" s="163"/>
      <c r="BU121" s="140"/>
      <c r="BV121" s="156"/>
      <c r="BW121" s="157"/>
      <c r="BX121" s="158"/>
      <c r="BY121" s="158"/>
      <c r="BZ121" s="159"/>
      <c r="CA121" s="160"/>
      <c r="CB121" s="160"/>
      <c r="CC121" s="162"/>
      <c r="CD121" s="162"/>
      <c r="CE121" s="162"/>
      <c r="CF121" s="162"/>
      <c r="CG121" s="162"/>
      <c r="CH121" s="162"/>
      <c r="CI121" s="162"/>
      <c r="CJ121" s="162"/>
      <c r="CK121" s="162"/>
      <c r="CL121" s="162"/>
      <c r="CM121" s="162"/>
      <c r="CN121" s="162"/>
      <c r="CO121" s="162"/>
      <c r="CP121" s="162"/>
      <c r="CQ121" s="162"/>
      <c r="CR121" s="163"/>
      <c r="CS121" s="140"/>
      <c r="CT121" s="156"/>
      <c r="CU121" s="157"/>
      <c r="CV121" s="158"/>
      <c r="CW121" s="158"/>
      <c r="CX121" s="159"/>
      <c r="CY121" s="160"/>
      <c r="CZ121" s="160"/>
      <c r="DA121" s="162"/>
      <c r="DB121" s="162"/>
      <c r="DC121" s="162"/>
      <c r="DD121" s="162"/>
      <c r="DE121" s="162"/>
      <c r="DF121" s="162"/>
      <c r="DG121" s="162"/>
      <c r="DH121" s="162"/>
      <c r="DI121" s="162"/>
      <c r="DJ121" s="162"/>
      <c r="DK121" s="162"/>
      <c r="DL121" s="162"/>
      <c r="DM121" s="162"/>
      <c r="DN121" s="162"/>
      <c r="DO121" s="162"/>
      <c r="DP121" s="163"/>
      <c r="DQ121" s="140"/>
      <c r="DR121" s="156"/>
      <c r="DS121" s="157"/>
      <c r="DT121" s="158"/>
      <c r="DU121" s="158"/>
      <c r="DV121" s="159"/>
      <c r="DW121" s="160"/>
      <c r="DX121" s="160"/>
      <c r="DY121" s="162"/>
      <c r="DZ121" s="162"/>
      <c r="EA121" s="162"/>
      <c r="EB121" s="162"/>
      <c r="EC121" s="162"/>
      <c r="ED121" s="162"/>
      <c r="EE121" s="162"/>
      <c r="EF121" s="162"/>
      <c r="EG121" s="162"/>
      <c r="EH121" s="162"/>
      <c r="EI121" s="162"/>
      <c r="EJ121" s="162"/>
      <c r="EK121" s="162"/>
      <c r="EL121" s="162"/>
      <c r="EM121" s="162"/>
      <c r="EN121" s="163"/>
      <c r="EO121" s="140"/>
      <c r="EP121" s="156"/>
      <c r="EQ121" s="157"/>
      <c r="ER121" s="158"/>
      <c r="ES121" s="158"/>
      <c r="ET121" s="159"/>
      <c r="EU121" s="160"/>
      <c r="EV121" s="160"/>
      <c r="EW121" s="162"/>
      <c r="EX121" s="162"/>
      <c r="EY121" s="162"/>
      <c r="EZ121" s="162"/>
      <c r="FA121" s="162"/>
      <c r="FB121" s="162"/>
      <c r="FC121" s="162"/>
      <c r="FD121" s="162"/>
      <c r="FE121" s="162"/>
      <c r="FF121" s="162"/>
      <c r="FG121" s="162"/>
      <c r="FH121" s="162"/>
      <c r="FI121" s="162"/>
      <c r="FJ121" s="162"/>
      <c r="FK121" s="162"/>
      <c r="FL121" s="163"/>
      <c r="FM121" s="140"/>
      <c r="FN121" s="156"/>
      <c r="FO121" s="157"/>
      <c r="FP121" s="158"/>
      <c r="FQ121" s="158"/>
      <c r="FR121" s="159"/>
      <c r="FS121" s="160"/>
      <c r="FT121" s="160"/>
      <c r="FU121" s="162"/>
      <c r="FV121" s="162"/>
      <c r="FW121" s="162"/>
      <c r="FX121" s="162"/>
      <c r="FY121" s="162"/>
      <c r="FZ121" s="162"/>
      <c r="GA121" s="162"/>
      <c r="GB121" s="162"/>
      <c r="GC121" s="162"/>
      <c r="GD121" s="162"/>
      <c r="GE121" s="162"/>
      <c r="GF121" s="162"/>
      <c r="GG121" s="162"/>
      <c r="GH121" s="162"/>
      <c r="GI121" s="162"/>
      <c r="GJ121" s="163"/>
      <c r="GK121" s="140"/>
      <c r="GL121" s="156"/>
      <c r="GM121" s="157"/>
      <c r="GN121" s="158"/>
      <c r="GO121" s="158"/>
      <c r="GP121" s="159"/>
      <c r="GQ121" s="160"/>
      <c r="GR121" s="160"/>
      <c r="GS121" s="162"/>
      <c r="GT121" s="162"/>
      <c r="GU121" s="162"/>
      <c r="GV121" s="162"/>
      <c r="GW121" s="162"/>
      <c r="GX121" s="162"/>
      <c r="GY121" s="162"/>
      <c r="GZ121" s="162"/>
      <c r="HA121" s="162"/>
      <c r="HB121" s="162"/>
      <c r="HC121" s="162"/>
      <c r="HD121" s="162"/>
      <c r="HE121" s="162"/>
      <c r="HF121" s="162"/>
      <c r="HG121" s="162"/>
      <c r="HH121" s="163"/>
      <c r="HI121" s="140"/>
      <c r="HJ121" s="156"/>
      <c r="HK121" s="157"/>
      <c r="HL121" s="158"/>
      <c r="HM121" s="158"/>
      <c r="HN121" s="159"/>
      <c r="HO121" s="160"/>
      <c r="HP121" s="160"/>
      <c r="HQ121" s="162"/>
      <c r="HR121" s="162"/>
      <c r="HS121" s="162"/>
      <c r="HT121" s="162"/>
      <c r="HU121" s="162"/>
      <c r="HV121" s="162"/>
      <c r="HW121" s="162"/>
      <c r="HX121" s="162"/>
      <c r="HY121" s="162"/>
      <c r="HZ121" s="162"/>
      <c r="IA121" s="162"/>
      <c r="IB121" s="162"/>
      <c r="IC121" s="162"/>
      <c r="ID121" s="162"/>
      <c r="IE121" s="162"/>
      <c r="IF121" s="163"/>
      <c r="IG121" s="140"/>
      <c r="IH121" s="156"/>
      <c r="II121" s="157"/>
      <c r="IJ121" s="158"/>
      <c r="IK121" s="158"/>
      <c r="IL121" s="159"/>
      <c r="IM121" s="160"/>
      <c r="IN121" s="160"/>
      <c r="IO121" s="162"/>
      <c r="IP121" s="162"/>
      <c r="IQ121" s="162"/>
      <c r="IR121" s="162"/>
      <c r="IS121" s="162"/>
      <c r="IT121" s="162"/>
      <c r="IU121" s="162"/>
      <c r="IV121" s="162"/>
    </row>
    <row r="122" spans="1:256" s="141" customFormat="1" x14ac:dyDescent="0.25">
      <c r="A122" s="138">
        <v>12.1</v>
      </c>
      <c r="B122" s="165" t="s">
        <v>425</v>
      </c>
      <c r="C122" s="110">
        <v>8090010</v>
      </c>
      <c r="D122" s="80" t="s">
        <v>102</v>
      </c>
      <c r="E122" s="43"/>
      <c r="F122" s="114">
        <v>792</v>
      </c>
      <c r="G122" s="129" t="s">
        <v>103</v>
      </c>
      <c r="H122" s="129">
        <v>29</v>
      </c>
      <c r="I122" s="151">
        <v>98401</v>
      </c>
      <c r="J122" s="83" t="s">
        <v>429</v>
      </c>
      <c r="K122" s="24">
        <v>507500</v>
      </c>
      <c r="L122" s="24"/>
      <c r="M122" s="24"/>
      <c r="N122" s="24"/>
      <c r="O122" s="24"/>
      <c r="P122" s="83">
        <v>29</v>
      </c>
      <c r="Q122" s="83">
        <v>507500</v>
      </c>
      <c r="R122" s="83"/>
      <c r="S122" s="83"/>
      <c r="T122" s="83"/>
      <c r="U122" s="83"/>
      <c r="V122" s="83"/>
      <c r="W122" s="83"/>
      <c r="X122" s="167"/>
      <c r="Y122" s="168"/>
      <c r="Z122" s="168"/>
      <c r="AA122" s="168"/>
      <c r="AB122" s="168"/>
      <c r="AC122" s="168"/>
      <c r="AD122" s="168"/>
      <c r="AE122" s="168"/>
    </row>
    <row r="123" spans="1:256" s="141" customFormat="1" ht="30" x14ac:dyDescent="0.25">
      <c r="A123" s="138">
        <v>12.2</v>
      </c>
      <c r="B123" s="165" t="s">
        <v>425</v>
      </c>
      <c r="C123" s="110">
        <v>8090010</v>
      </c>
      <c r="D123" s="80" t="s">
        <v>104</v>
      </c>
      <c r="E123" s="43"/>
      <c r="F123" s="114">
        <v>792</v>
      </c>
      <c r="G123" s="129" t="s">
        <v>103</v>
      </c>
      <c r="H123" s="129">
        <v>4</v>
      </c>
      <c r="I123" s="151">
        <v>98401</v>
      </c>
      <c r="J123" s="83" t="s">
        <v>429</v>
      </c>
      <c r="K123" s="24">
        <v>40000</v>
      </c>
      <c r="L123" s="24"/>
      <c r="M123" s="24"/>
      <c r="N123" s="24"/>
      <c r="O123" s="24"/>
      <c r="P123" s="83"/>
      <c r="Q123" s="83"/>
      <c r="R123" s="83"/>
      <c r="S123" s="83"/>
      <c r="T123" s="83"/>
      <c r="U123" s="83"/>
      <c r="V123" s="83">
        <v>3</v>
      </c>
      <c r="W123" s="83">
        <v>40000</v>
      </c>
      <c r="X123" s="167"/>
      <c r="Y123" s="168"/>
      <c r="Z123" s="168"/>
      <c r="AA123" s="168"/>
      <c r="AB123" s="168"/>
      <c r="AC123" s="168"/>
      <c r="AD123" s="168"/>
      <c r="AE123" s="168"/>
    </row>
    <row r="124" spans="1:256" s="141" customFormat="1" ht="30" x14ac:dyDescent="0.25">
      <c r="A124" s="138">
        <v>12.3</v>
      </c>
      <c r="B124" s="165" t="s">
        <v>425</v>
      </c>
      <c r="C124" s="110">
        <v>8090010</v>
      </c>
      <c r="D124" s="80" t="s">
        <v>105</v>
      </c>
      <c r="E124" s="43"/>
      <c r="F124" s="114">
        <v>792</v>
      </c>
      <c r="G124" s="129" t="s">
        <v>103</v>
      </c>
      <c r="H124" s="129">
        <v>39</v>
      </c>
      <c r="I124" s="151">
        <v>98401</v>
      </c>
      <c r="J124" s="83" t="s">
        <v>429</v>
      </c>
      <c r="K124" s="24">
        <v>1170000</v>
      </c>
      <c r="L124" s="24"/>
      <c r="M124" s="24"/>
      <c r="N124" s="24"/>
      <c r="O124" s="24"/>
      <c r="P124" s="83"/>
      <c r="Q124" s="83"/>
      <c r="R124" s="83"/>
      <c r="S124" s="83"/>
      <c r="T124" s="83">
        <v>39</v>
      </c>
      <c r="U124" s="83">
        <v>1170000</v>
      </c>
      <c r="V124" s="83"/>
      <c r="W124" s="83"/>
      <c r="X124" s="167"/>
      <c r="Y124" s="168"/>
      <c r="Z124" s="168"/>
      <c r="AA124" s="168"/>
      <c r="AB124" s="168"/>
      <c r="AC124" s="168"/>
      <c r="AD124" s="168"/>
      <c r="AE124" s="168"/>
    </row>
    <row r="125" spans="1:256" s="141" customFormat="1" ht="30" x14ac:dyDescent="0.25">
      <c r="A125" s="138">
        <v>12.4</v>
      </c>
      <c r="B125" s="165" t="s">
        <v>425</v>
      </c>
      <c r="C125" s="110">
        <v>8090010</v>
      </c>
      <c r="D125" s="80" t="s">
        <v>106</v>
      </c>
      <c r="E125" s="43"/>
      <c r="F125" s="114">
        <v>792</v>
      </c>
      <c r="G125" s="129" t="s">
        <v>103</v>
      </c>
      <c r="H125" s="129">
        <v>3</v>
      </c>
      <c r="I125" s="151">
        <v>98401</v>
      </c>
      <c r="J125" s="83" t="s">
        <v>429</v>
      </c>
      <c r="K125" s="24">
        <v>132700</v>
      </c>
      <c r="L125" s="24"/>
      <c r="M125" s="24"/>
      <c r="N125" s="24"/>
      <c r="O125" s="24"/>
      <c r="P125" s="83"/>
      <c r="Q125" s="83"/>
      <c r="R125" s="83"/>
      <c r="S125" s="83"/>
      <c r="T125" s="83">
        <v>3</v>
      </c>
      <c r="U125" s="83">
        <v>132700</v>
      </c>
      <c r="V125" s="83"/>
      <c r="W125" s="83"/>
      <c r="X125" s="167"/>
      <c r="Y125" s="168"/>
      <c r="Z125" s="168"/>
      <c r="AA125" s="168"/>
      <c r="AB125" s="168"/>
      <c r="AC125" s="168"/>
      <c r="AD125" s="168"/>
      <c r="AE125" s="168"/>
    </row>
    <row r="126" spans="1:256" s="141" customFormat="1" ht="30" x14ac:dyDescent="0.25">
      <c r="A126" s="138">
        <v>12.5</v>
      </c>
      <c r="B126" s="165" t="s">
        <v>425</v>
      </c>
      <c r="C126" s="110">
        <v>8090010</v>
      </c>
      <c r="D126" s="80" t="s">
        <v>107</v>
      </c>
      <c r="E126" s="43"/>
      <c r="F126" s="114">
        <v>792</v>
      </c>
      <c r="G126" s="129" t="s">
        <v>103</v>
      </c>
      <c r="H126" s="129">
        <v>4</v>
      </c>
      <c r="I126" s="151">
        <v>98401</v>
      </c>
      <c r="J126" s="83" t="s">
        <v>429</v>
      </c>
      <c r="K126" s="24">
        <v>112000</v>
      </c>
      <c r="L126" s="24"/>
      <c r="M126" s="24"/>
      <c r="N126" s="24"/>
      <c r="O126" s="24"/>
      <c r="P126" s="83">
        <v>1</v>
      </c>
      <c r="Q126" s="83">
        <v>12000</v>
      </c>
      <c r="R126" s="83"/>
      <c r="S126" s="83"/>
      <c r="T126" s="83"/>
      <c r="U126" s="83"/>
      <c r="V126" s="83">
        <v>3</v>
      </c>
      <c r="W126" s="83">
        <v>100000</v>
      </c>
      <c r="X126" s="167"/>
      <c r="Y126" s="168"/>
      <c r="Z126" s="168"/>
      <c r="AA126" s="168"/>
      <c r="AB126" s="168"/>
      <c r="AC126" s="168"/>
      <c r="AD126" s="168"/>
      <c r="AE126" s="168"/>
    </row>
    <row r="127" spans="1:256" s="141" customFormat="1" ht="30" x14ac:dyDescent="0.25">
      <c r="A127" s="138">
        <v>12.6</v>
      </c>
      <c r="B127" s="165" t="s">
        <v>425</v>
      </c>
      <c r="C127" s="110">
        <v>8090010</v>
      </c>
      <c r="D127" s="80" t="s">
        <v>108</v>
      </c>
      <c r="E127" s="43"/>
      <c r="F127" s="114">
        <v>792</v>
      </c>
      <c r="G127" s="129" t="s">
        <v>103</v>
      </c>
      <c r="H127" s="129">
        <v>8</v>
      </c>
      <c r="I127" s="151">
        <v>98401</v>
      </c>
      <c r="J127" s="83" t="s">
        <v>429</v>
      </c>
      <c r="K127" s="24">
        <v>256449</v>
      </c>
      <c r="L127" s="24"/>
      <c r="M127" s="24"/>
      <c r="N127" s="24"/>
      <c r="O127" s="24"/>
      <c r="P127" s="83"/>
      <c r="Q127" s="83"/>
      <c r="R127" s="83"/>
      <c r="S127" s="83"/>
      <c r="T127" s="83">
        <v>5</v>
      </c>
      <c r="U127" s="83">
        <v>156449</v>
      </c>
      <c r="V127" s="83">
        <v>3</v>
      </c>
      <c r="W127" s="83">
        <v>100000</v>
      </c>
      <c r="X127" s="167"/>
      <c r="Y127" s="168"/>
      <c r="Z127" s="168"/>
      <c r="AA127" s="168"/>
      <c r="AB127" s="168"/>
      <c r="AC127" s="168"/>
      <c r="AD127" s="168"/>
      <c r="AE127" s="168"/>
    </row>
    <row r="128" spans="1:256" s="141" customFormat="1" ht="30" x14ac:dyDescent="0.25">
      <c r="A128" s="138">
        <v>12.7</v>
      </c>
      <c r="B128" s="165" t="s">
        <v>425</v>
      </c>
      <c r="C128" s="110">
        <v>8090010</v>
      </c>
      <c r="D128" s="80" t="s">
        <v>109</v>
      </c>
      <c r="E128" s="43"/>
      <c r="F128" s="114">
        <v>792</v>
      </c>
      <c r="G128" s="129" t="s">
        <v>103</v>
      </c>
      <c r="H128" s="129">
        <v>2</v>
      </c>
      <c r="I128" s="151">
        <v>98401</v>
      </c>
      <c r="J128" s="83" t="s">
        <v>429</v>
      </c>
      <c r="K128" s="24">
        <v>48000</v>
      </c>
      <c r="L128" s="24"/>
      <c r="M128" s="24"/>
      <c r="N128" s="24"/>
      <c r="O128" s="24"/>
      <c r="P128" s="83"/>
      <c r="Q128" s="83"/>
      <c r="R128" s="83">
        <v>1</v>
      </c>
      <c r="S128" s="83">
        <v>8000</v>
      </c>
      <c r="T128" s="83"/>
      <c r="U128" s="83"/>
      <c r="V128" s="83">
        <v>1</v>
      </c>
      <c r="W128" s="83">
        <v>40000</v>
      </c>
      <c r="X128" s="167"/>
      <c r="Y128" s="168"/>
      <c r="Z128" s="168"/>
      <c r="AA128" s="168"/>
      <c r="AB128" s="168"/>
      <c r="AC128" s="168"/>
      <c r="AD128" s="168"/>
      <c r="AE128" s="168"/>
    </row>
    <row r="129" spans="1:256" s="141" customFormat="1" ht="30" x14ac:dyDescent="0.25">
      <c r="A129" s="138">
        <v>12.8</v>
      </c>
      <c r="B129" s="165" t="s">
        <v>425</v>
      </c>
      <c r="C129" s="110">
        <v>8090010</v>
      </c>
      <c r="D129" s="80" t="s">
        <v>110</v>
      </c>
      <c r="E129" s="43"/>
      <c r="F129" s="114">
        <v>792</v>
      </c>
      <c r="G129" s="129" t="s">
        <v>103</v>
      </c>
      <c r="H129" s="129">
        <v>2</v>
      </c>
      <c r="I129" s="151">
        <v>98401</v>
      </c>
      <c r="J129" s="83" t="s">
        <v>429</v>
      </c>
      <c r="K129" s="24">
        <v>14000</v>
      </c>
      <c r="L129" s="24"/>
      <c r="M129" s="24"/>
      <c r="N129" s="24"/>
      <c r="O129" s="24"/>
      <c r="P129" s="83"/>
      <c r="Q129" s="83"/>
      <c r="R129" s="83">
        <v>1</v>
      </c>
      <c r="S129" s="83">
        <v>7000</v>
      </c>
      <c r="T129" s="83"/>
      <c r="U129" s="83"/>
      <c r="V129" s="83">
        <v>1</v>
      </c>
      <c r="W129" s="83">
        <v>7000</v>
      </c>
      <c r="X129" s="167"/>
      <c r="Y129" s="168"/>
      <c r="Z129" s="168"/>
      <c r="AA129" s="168"/>
      <c r="AB129" s="168"/>
      <c r="AC129" s="168"/>
      <c r="AD129" s="168"/>
      <c r="AE129" s="168"/>
    </row>
    <row r="130" spans="1:256" s="141" customFormat="1" ht="60" x14ac:dyDescent="0.25">
      <c r="A130" s="138">
        <v>12.9</v>
      </c>
      <c r="B130" s="165" t="s">
        <v>425</v>
      </c>
      <c r="C130" s="110">
        <v>8090010</v>
      </c>
      <c r="D130" s="80" t="s">
        <v>111</v>
      </c>
      <c r="E130" s="80"/>
      <c r="F130" s="114">
        <v>792</v>
      </c>
      <c r="G130" s="129" t="s">
        <v>103</v>
      </c>
      <c r="H130" s="129">
        <v>2</v>
      </c>
      <c r="I130" s="151">
        <v>98401</v>
      </c>
      <c r="J130" s="83" t="s">
        <v>429</v>
      </c>
      <c r="K130" s="24">
        <v>60000</v>
      </c>
      <c r="L130" s="24"/>
      <c r="M130" s="24"/>
      <c r="N130" s="24"/>
      <c r="O130" s="24"/>
      <c r="P130" s="83"/>
      <c r="Q130" s="83"/>
      <c r="R130" s="83"/>
      <c r="S130" s="83"/>
      <c r="T130" s="83"/>
      <c r="U130" s="83"/>
      <c r="V130" s="83">
        <v>2</v>
      </c>
      <c r="W130" s="83">
        <v>60000</v>
      </c>
      <c r="X130" s="167"/>
      <c r="Y130" s="168"/>
      <c r="Z130" s="168"/>
      <c r="AA130" s="168"/>
      <c r="AB130" s="168"/>
      <c r="AC130" s="168"/>
      <c r="AD130" s="168"/>
      <c r="AE130" s="168"/>
    </row>
    <row r="131" spans="1:256" s="141" customFormat="1" ht="45" x14ac:dyDescent="0.25">
      <c r="A131" s="138"/>
      <c r="B131" s="165" t="s">
        <v>425</v>
      </c>
      <c r="C131" s="110">
        <v>8090010</v>
      </c>
      <c r="D131" s="217" t="s">
        <v>466</v>
      </c>
      <c r="E131" s="114" t="s">
        <v>467</v>
      </c>
      <c r="F131" s="114">
        <v>792</v>
      </c>
      <c r="G131" s="129" t="s">
        <v>103</v>
      </c>
      <c r="H131" s="129">
        <v>2</v>
      </c>
      <c r="I131" s="151">
        <v>98401</v>
      </c>
      <c r="J131" s="83" t="s">
        <v>429</v>
      </c>
      <c r="K131" s="24">
        <v>53181</v>
      </c>
      <c r="L131" s="24"/>
      <c r="M131" s="24"/>
      <c r="N131" s="24"/>
      <c r="O131" s="24"/>
      <c r="P131" s="83"/>
      <c r="Q131" s="83"/>
      <c r="R131" s="83"/>
      <c r="S131" s="83"/>
      <c r="T131" s="83"/>
      <c r="U131" s="83"/>
      <c r="V131" s="83"/>
      <c r="W131" s="83"/>
      <c r="X131" s="167"/>
      <c r="Y131" s="168"/>
      <c r="Z131" s="168"/>
      <c r="AA131" s="168"/>
      <c r="AB131" s="168"/>
      <c r="AC131" s="168"/>
      <c r="AD131" s="168"/>
      <c r="AE131" s="168"/>
    </row>
    <row r="132" spans="1:256" s="141" customFormat="1" ht="45" x14ac:dyDescent="0.25">
      <c r="A132" s="138"/>
      <c r="B132" s="165" t="s">
        <v>425</v>
      </c>
      <c r="C132" s="110">
        <v>8090010</v>
      </c>
      <c r="D132" s="217" t="s">
        <v>468</v>
      </c>
      <c r="E132" s="114" t="s">
        <v>467</v>
      </c>
      <c r="F132" s="114">
        <v>792</v>
      </c>
      <c r="G132" s="129" t="s">
        <v>103</v>
      </c>
      <c r="H132" s="129">
        <v>2</v>
      </c>
      <c r="I132" s="151">
        <v>98401</v>
      </c>
      <c r="J132" s="83" t="s">
        <v>429</v>
      </c>
      <c r="K132" s="24">
        <v>87980</v>
      </c>
      <c r="L132" s="24"/>
      <c r="M132" s="24"/>
      <c r="N132" s="24"/>
      <c r="O132" s="24"/>
      <c r="P132" s="83"/>
      <c r="Q132" s="83"/>
      <c r="R132" s="83"/>
      <c r="S132" s="83"/>
      <c r="T132" s="83"/>
      <c r="U132" s="83"/>
      <c r="V132" s="83"/>
      <c r="W132" s="83"/>
      <c r="X132" s="167"/>
      <c r="Y132" s="168"/>
      <c r="Z132" s="168"/>
      <c r="AA132" s="168"/>
      <c r="AB132" s="168"/>
      <c r="AC132" s="168"/>
      <c r="AD132" s="168"/>
      <c r="AE132" s="168"/>
    </row>
    <row r="133" spans="1:256" s="141" customFormat="1" x14ac:dyDescent="0.25">
      <c r="A133" s="138">
        <v>12.1</v>
      </c>
      <c r="B133" s="165" t="s">
        <v>425</v>
      </c>
      <c r="C133" s="110">
        <v>8090010</v>
      </c>
      <c r="D133" s="217" t="s">
        <v>361</v>
      </c>
      <c r="E133" s="114" t="s">
        <v>469</v>
      </c>
      <c r="F133" s="114">
        <v>792</v>
      </c>
      <c r="G133" s="129" t="s">
        <v>103</v>
      </c>
      <c r="H133" s="129">
        <v>4</v>
      </c>
      <c r="I133" s="151">
        <v>98401</v>
      </c>
      <c r="J133" s="83" t="s">
        <v>429</v>
      </c>
      <c r="K133" s="24">
        <v>150000</v>
      </c>
      <c r="L133" s="24"/>
      <c r="M133" s="24"/>
      <c r="N133" s="24"/>
      <c r="O133" s="24"/>
      <c r="P133" s="83"/>
      <c r="Q133" s="83"/>
      <c r="R133" s="83"/>
      <c r="S133" s="83"/>
      <c r="T133" s="83"/>
      <c r="U133" s="83"/>
      <c r="V133" s="83">
        <v>4</v>
      </c>
      <c r="W133" s="83">
        <v>150000</v>
      </c>
      <c r="X133" s="167"/>
      <c r="Y133" s="168"/>
      <c r="Z133" s="168"/>
      <c r="AA133" s="168"/>
      <c r="AB133" s="168"/>
      <c r="AC133" s="168"/>
      <c r="AD133" s="168"/>
      <c r="AE133" s="168"/>
    </row>
    <row r="134" spans="1:256" s="141" customFormat="1" ht="30" x14ac:dyDescent="0.25">
      <c r="A134" s="138">
        <v>12.11</v>
      </c>
      <c r="B134" s="165" t="s">
        <v>425</v>
      </c>
      <c r="C134" s="110">
        <v>8090010</v>
      </c>
      <c r="D134" s="80" t="s">
        <v>362</v>
      </c>
      <c r="E134" s="80"/>
      <c r="F134" s="114">
        <v>792</v>
      </c>
      <c r="G134" s="129" t="s">
        <v>103</v>
      </c>
      <c r="H134" s="129">
        <v>10</v>
      </c>
      <c r="I134" s="151">
        <v>98401</v>
      </c>
      <c r="J134" s="83" t="s">
        <v>429</v>
      </c>
      <c r="K134" s="24">
        <v>400000</v>
      </c>
      <c r="L134" s="24"/>
      <c r="M134" s="24"/>
      <c r="N134" s="24"/>
      <c r="O134" s="24"/>
      <c r="P134" s="83"/>
      <c r="Q134" s="83"/>
      <c r="R134" s="83"/>
      <c r="S134" s="83"/>
      <c r="T134" s="83"/>
      <c r="U134" s="83"/>
      <c r="V134" s="83">
        <v>10</v>
      </c>
      <c r="W134" s="83">
        <v>400000</v>
      </c>
      <c r="X134" s="167"/>
      <c r="Y134" s="168"/>
      <c r="Z134" s="168"/>
      <c r="AA134" s="168"/>
      <c r="AB134" s="168"/>
      <c r="AC134" s="168"/>
      <c r="AD134" s="168"/>
      <c r="AE134" s="168"/>
    </row>
    <row r="135" spans="1:256" s="164" customFormat="1" ht="14.25" x14ac:dyDescent="0.2">
      <c r="A135" s="140"/>
      <c r="B135" s="156"/>
      <c r="C135" s="157"/>
      <c r="D135" s="158" t="s">
        <v>112</v>
      </c>
      <c r="E135" s="158"/>
      <c r="F135" s="159"/>
      <c r="G135" s="160"/>
      <c r="H135" s="160"/>
      <c r="I135" s="161"/>
      <c r="J135" s="162"/>
      <c r="K135" s="162"/>
      <c r="L135" s="162"/>
      <c r="M135" s="162"/>
      <c r="N135" s="162"/>
      <c r="O135" s="162"/>
      <c r="P135" s="162"/>
      <c r="Q135" s="162"/>
      <c r="R135" s="162"/>
      <c r="S135" s="162"/>
      <c r="T135" s="162"/>
      <c r="U135" s="162"/>
      <c r="V135" s="162"/>
      <c r="W135" s="162"/>
      <c r="X135" s="163"/>
      <c r="Y135" s="140"/>
      <c r="Z135" s="156"/>
      <c r="AA135" s="157"/>
      <c r="AB135" s="158"/>
      <c r="AC135" s="158"/>
      <c r="AD135" s="159"/>
      <c r="AE135" s="160"/>
      <c r="AF135" s="160"/>
      <c r="AG135" s="162"/>
      <c r="AH135" s="162"/>
      <c r="AI135" s="162"/>
      <c r="AJ135" s="162"/>
      <c r="AK135" s="162"/>
      <c r="AL135" s="162"/>
      <c r="AM135" s="162"/>
      <c r="AN135" s="162"/>
      <c r="AO135" s="162"/>
      <c r="AP135" s="162"/>
      <c r="AQ135" s="162"/>
      <c r="AR135" s="162"/>
      <c r="AS135" s="162"/>
      <c r="AT135" s="162"/>
      <c r="AU135" s="162"/>
      <c r="AV135" s="163"/>
      <c r="AW135" s="140"/>
      <c r="AX135" s="156"/>
      <c r="AY135" s="157"/>
      <c r="AZ135" s="158"/>
      <c r="BA135" s="158"/>
      <c r="BB135" s="159"/>
      <c r="BC135" s="160"/>
      <c r="BD135" s="160"/>
      <c r="BE135" s="162"/>
      <c r="BF135" s="162"/>
      <c r="BG135" s="162"/>
      <c r="BH135" s="162"/>
      <c r="BI135" s="162"/>
      <c r="BJ135" s="162"/>
      <c r="BK135" s="162"/>
      <c r="BL135" s="162"/>
      <c r="BM135" s="162"/>
      <c r="BN135" s="162"/>
      <c r="BO135" s="162"/>
      <c r="BP135" s="162"/>
      <c r="BQ135" s="162"/>
      <c r="BR135" s="162"/>
      <c r="BS135" s="162"/>
      <c r="BT135" s="163"/>
      <c r="BU135" s="140"/>
      <c r="BV135" s="156"/>
      <c r="BW135" s="157"/>
      <c r="BX135" s="158"/>
      <c r="BY135" s="158"/>
      <c r="BZ135" s="159"/>
      <c r="CA135" s="160"/>
      <c r="CB135" s="160"/>
      <c r="CC135" s="162"/>
      <c r="CD135" s="162"/>
      <c r="CE135" s="162"/>
      <c r="CF135" s="162"/>
      <c r="CG135" s="162"/>
      <c r="CH135" s="162"/>
      <c r="CI135" s="162"/>
      <c r="CJ135" s="162"/>
      <c r="CK135" s="162"/>
      <c r="CL135" s="162"/>
      <c r="CM135" s="162"/>
      <c r="CN135" s="162"/>
      <c r="CO135" s="162"/>
      <c r="CP135" s="162"/>
      <c r="CQ135" s="162"/>
      <c r="CR135" s="163"/>
      <c r="CS135" s="140"/>
      <c r="CT135" s="156"/>
      <c r="CU135" s="157"/>
      <c r="CV135" s="158"/>
      <c r="CW135" s="158"/>
      <c r="CX135" s="159"/>
      <c r="CY135" s="160"/>
      <c r="CZ135" s="160"/>
      <c r="DA135" s="162"/>
      <c r="DB135" s="162"/>
      <c r="DC135" s="162"/>
      <c r="DD135" s="162"/>
      <c r="DE135" s="162"/>
      <c r="DF135" s="162"/>
      <c r="DG135" s="162"/>
      <c r="DH135" s="162"/>
      <c r="DI135" s="162"/>
      <c r="DJ135" s="162"/>
      <c r="DK135" s="162"/>
      <c r="DL135" s="162"/>
      <c r="DM135" s="162"/>
      <c r="DN135" s="162"/>
      <c r="DO135" s="162"/>
      <c r="DP135" s="163"/>
      <c r="DQ135" s="140"/>
      <c r="DR135" s="156"/>
      <c r="DS135" s="157"/>
      <c r="DT135" s="158"/>
      <c r="DU135" s="158"/>
      <c r="DV135" s="159"/>
      <c r="DW135" s="160"/>
      <c r="DX135" s="160"/>
      <c r="DY135" s="162"/>
      <c r="DZ135" s="162"/>
      <c r="EA135" s="162"/>
      <c r="EB135" s="162"/>
      <c r="EC135" s="162"/>
      <c r="ED135" s="162"/>
      <c r="EE135" s="162"/>
      <c r="EF135" s="162"/>
      <c r="EG135" s="162"/>
      <c r="EH135" s="162"/>
      <c r="EI135" s="162"/>
      <c r="EJ135" s="162"/>
      <c r="EK135" s="162"/>
      <c r="EL135" s="162"/>
      <c r="EM135" s="162"/>
      <c r="EN135" s="163"/>
      <c r="EO135" s="140"/>
      <c r="EP135" s="156"/>
      <c r="EQ135" s="157"/>
      <c r="ER135" s="158"/>
      <c r="ES135" s="158"/>
      <c r="ET135" s="159"/>
      <c r="EU135" s="160"/>
      <c r="EV135" s="160"/>
      <c r="EW135" s="162"/>
      <c r="EX135" s="162"/>
      <c r="EY135" s="162"/>
      <c r="EZ135" s="162"/>
      <c r="FA135" s="162"/>
      <c r="FB135" s="162"/>
      <c r="FC135" s="162"/>
      <c r="FD135" s="162"/>
      <c r="FE135" s="162"/>
      <c r="FF135" s="162"/>
      <c r="FG135" s="162"/>
      <c r="FH135" s="162"/>
      <c r="FI135" s="162"/>
      <c r="FJ135" s="162"/>
      <c r="FK135" s="162"/>
      <c r="FL135" s="163"/>
      <c r="FM135" s="140"/>
      <c r="FN135" s="156"/>
      <c r="FO135" s="157"/>
      <c r="FP135" s="158"/>
      <c r="FQ135" s="158"/>
      <c r="FR135" s="159"/>
      <c r="FS135" s="160"/>
      <c r="FT135" s="160"/>
      <c r="FU135" s="162"/>
      <c r="FV135" s="162"/>
      <c r="FW135" s="162"/>
      <c r="FX135" s="162"/>
      <c r="FY135" s="162"/>
      <c r="FZ135" s="162"/>
      <c r="GA135" s="162"/>
      <c r="GB135" s="162"/>
      <c r="GC135" s="162"/>
      <c r="GD135" s="162"/>
      <c r="GE135" s="162"/>
      <c r="GF135" s="162"/>
      <c r="GG135" s="162"/>
      <c r="GH135" s="162"/>
      <c r="GI135" s="162"/>
      <c r="GJ135" s="163"/>
      <c r="GK135" s="140"/>
      <c r="GL135" s="156"/>
      <c r="GM135" s="157"/>
      <c r="GN135" s="158"/>
      <c r="GO135" s="158"/>
      <c r="GP135" s="159"/>
      <c r="GQ135" s="160"/>
      <c r="GR135" s="160"/>
      <c r="GS135" s="162"/>
      <c r="GT135" s="162"/>
      <c r="GU135" s="162"/>
      <c r="GV135" s="162"/>
      <c r="GW135" s="162"/>
      <c r="GX135" s="162"/>
      <c r="GY135" s="162"/>
      <c r="GZ135" s="162"/>
      <c r="HA135" s="162"/>
      <c r="HB135" s="162"/>
      <c r="HC135" s="162"/>
      <c r="HD135" s="162"/>
      <c r="HE135" s="162"/>
      <c r="HF135" s="162"/>
      <c r="HG135" s="162"/>
      <c r="HH135" s="163"/>
      <c r="HI135" s="140"/>
      <c r="HJ135" s="156"/>
      <c r="HK135" s="157"/>
      <c r="HL135" s="158"/>
      <c r="HM135" s="158"/>
      <c r="HN135" s="159"/>
      <c r="HO135" s="160"/>
      <c r="HP135" s="160"/>
      <c r="HQ135" s="162"/>
      <c r="HR135" s="162"/>
      <c r="HS135" s="162"/>
      <c r="HT135" s="162"/>
      <c r="HU135" s="162"/>
      <c r="HV135" s="162"/>
      <c r="HW135" s="162"/>
      <c r="HX135" s="162"/>
      <c r="HY135" s="162"/>
      <c r="HZ135" s="162"/>
      <c r="IA135" s="162"/>
      <c r="IB135" s="162"/>
      <c r="IC135" s="162"/>
      <c r="ID135" s="162"/>
      <c r="IE135" s="162"/>
      <c r="IF135" s="163"/>
      <c r="IG135" s="140"/>
      <c r="IH135" s="156"/>
      <c r="II135" s="157"/>
      <c r="IJ135" s="158"/>
      <c r="IK135" s="158"/>
      <c r="IL135" s="159"/>
      <c r="IM135" s="160"/>
      <c r="IN135" s="160"/>
      <c r="IO135" s="162"/>
      <c r="IP135" s="162"/>
      <c r="IQ135" s="162"/>
      <c r="IR135" s="162"/>
      <c r="IS135" s="162"/>
      <c r="IT135" s="162"/>
      <c r="IU135" s="162"/>
      <c r="IV135" s="162"/>
    </row>
    <row r="136" spans="1:256" s="164" customFormat="1" ht="14.25" x14ac:dyDescent="0.2">
      <c r="A136" s="140">
        <v>15</v>
      </c>
      <c r="B136" s="156"/>
      <c r="C136" s="157"/>
      <c r="D136" s="158" t="s">
        <v>113</v>
      </c>
      <c r="E136" s="158"/>
      <c r="F136" s="159"/>
      <c r="G136" s="160"/>
      <c r="H136" s="160"/>
      <c r="I136" s="161"/>
      <c r="J136" s="162"/>
      <c r="K136" s="162"/>
      <c r="L136" s="162"/>
      <c r="M136" s="162"/>
      <c r="N136" s="162"/>
      <c r="O136" s="162"/>
      <c r="P136" s="162"/>
      <c r="Q136" s="162"/>
      <c r="R136" s="162"/>
      <c r="S136" s="162"/>
      <c r="T136" s="162"/>
      <c r="U136" s="162"/>
      <c r="V136" s="162"/>
      <c r="W136" s="162"/>
      <c r="X136" s="163"/>
      <c r="Y136" s="140"/>
      <c r="Z136" s="156"/>
      <c r="AA136" s="157"/>
      <c r="AB136" s="158"/>
      <c r="AC136" s="158"/>
      <c r="AD136" s="159"/>
      <c r="AE136" s="160"/>
      <c r="AF136" s="160"/>
      <c r="AG136" s="162"/>
      <c r="AH136" s="162"/>
      <c r="AI136" s="162"/>
      <c r="AJ136" s="162"/>
      <c r="AK136" s="162"/>
      <c r="AL136" s="162"/>
      <c r="AM136" s="162"/>
      <c r="AN136" s="162"/>
      <c r="AO136" s="162"/>
      <c r="AP136" s="162"/>
      <c r="AQ136" s="162"/>
      <c r="AR136" s="162"/>
      <c r="AS136" s="162"/>
      <c r="AT136" s="162"/>
      <c r="AU136" s="162"/>
      <c r="AV136" s="163"/>
      <c r="AW136" s="140"/>
      <c r="AX136" s="156"/>
      <c r="AY136" s="157"/>
      <c r="AZ136" s="158"/>
      <c r="BA136" s="158"/>
      <c r="BB136" s="159"/>
      <c r="BC136" s="160"/>
      <c r="BD136" s="160"/>
      <c r="BE136" s="162"/>
      <c r="BF136" s="162"/>
      <c r="BG136" s="162"/>
      <c r="BH136" s="162"/>
      <c r="BI136" s="162"/>
      <c r="BJ136" s="162"/>
      <c r="BK136" s="162"/>
      <c r="BL136" s="162"/>
      <c r="BM136" s="162"/>
      <c r="BN136" s="162"/>
      <c r="BO136" s="162"/>
      <c r="BP136" s="162"/>
      <c r="BQ136" s="162"/>
      <c r="BR136" s="162"/>
      <c r="BS136" s="162"/>
      <c r="BT136" s="163"/>
      <c r="BU136" s="140"/>
      <c r="BV136" s="156"/>
      <c r="BW136" s="157"/>
      <c r="BX136" s="158"/>
      <c r="BY136" s="158"/>
      <c r="BZ136" s="159"/>
      <c r="CA136" s="160"/>
      <c r="CB136" s="160"/>
      <c r="CC136" s="162"/>
      <c r="CD136" s="162"/>
      <c r="CE136" s="162"/>
      <c r="CF136" s="162"/>
      <c r="CG136" s="162"/>
      <c r="CH136" s="162"/>
      <c r="CI136" s="162"/>
      <c r="CJ136" s="162"/>
      <c r="CK136" s="162"/>
      <c r="CL136" s="162"/>
      <c r="CM136" s="162"/>
      <c r="CN136" s="162"/>
      <c r="CO136" s="162"/>
      <c r="CP136" s="162"/>
      <c r="CQ136" s="162"/>
      <c r="CR136" s="163"/>
      <c r="CS136" s="140"/>
      <c r="CT136" s="156"/>
      <c r="CU136" s="157"/>
      <c r="CV136" s="158"/>
      <c r="CW136" s="158"/>
      <c r="CX136" s="159"/>
      <c r="CY136" s="160"/>
      <c r="CZ136" s="160"/>
      <c r="DA136" s="162"/>
      <c r="DB136" s="162"/>
      <c r="DC136" s="162"/>
      <c r="DD136" s="162"/>
      <c r="DE136" s="162"/>
      <c r="DF136" s="162"/>
      <c r="DG136" s="162"/>
      <c r="DH136" s="162"/>
      <c r="DI136" s="162"/>
      <c r="DJ136" s="162"/>
      <c r="DK136" s="162"/>
      <c r="DL136" s="162"/>
      <c r="DM136" s="162"/>
      <c r="DN136" s="162"/>
      <c r="DO136" s="162"/>
      <c r="DP136" s="163"/>
      <c r="DQ136" s="140"/>
      <c r="DR136" s="156"/>
      <c r="DS136" s="157"/>
      <c r="DT136" s="158"/>
      <c r="DU136" s="158"/>
      <c r="DV136" s="159"/>
      <c r="DW136" s="160"/>
      <c r="DX136" s="160"/>
      <c r="DY136" s="162"/>
      <c r="DZ136" s="162"/>
      <c r="EA136" s="162"/>
      <c r="EB136" s="162"/>
      <c r="EC136" s="162"/>
      <c r="ED136" s="162"/>
      <c r="EE136" s="162"/>
      <c r="EF136" s="162"/>
      <c r="EG136" s="162"/>
      <c r="EH136" s="162"/>
      <c r="EI136" s="162"/>
      <c r="EJ136" s="162"/>
      <c r="EK136" s="162"/>
      <c r="EL136" s="162"/>
      <c r="EM136" s="162"/>
      <c r="EN136" s="163"/>
      <c r="EO136" s="140"/>
      <c r="EP136" s="156"/>
      <c r="EQ136" s="157"/>
      <c r="ER136" s="158"/>
      <c r="ES136" s="158"/>
      <c r="ET136" s="159"/>
      <c r="EU136" s="160"/>
      <c r="EV136" s="160"/>
      <c r="EW136" s="162"/>
      <c r="EX136" s="162"/>
      <c r="EY136" s="162"/>
      <c r="EZ136" s="162"/>
      <c r="FA136" s="162"/>
      <c r="FB136" s="162"/>
      <c r="FC136" s="162"/>
      <c r="FD136" s="162"/>
      <c r="FE136" s="162"/>
      <c r="FF136" s="162"/>
      <c r="FG136" s="162"/>
      <c r="FH136" s="162"/>
      <c r="FI136" s="162"/>
      <c r="FJ136" s="162"/>
      <c r="FK136" s="162"/>
      <c r="FL136" s="163"/>
      <c r="FM136" s="140"/>
      <c r="FN136" s="156"/>
      <c r="FO136" s="157"/>
      <c r="FP136" s="158"/>
      <c r="FQ136" s="158"/>
      <c r="FR136" s="159"/>
      <c r="FS136" s="160"/>
      <c r="FT136" s="160"/>
      <c r="FU136" s="162"/>
      <c r="FV136" s="162"/>
      <c r="FW136" s="162"/>
      <c r="FX136" s="162"/>
      <c r="FY136" s="162"/>
      <c r="FZ136" s="162"/>
      <c r="GA136" s="162"/>
      <c r="GB136" s="162"/>
      <c r="GC136" s="162"/>
      <c r="GD136" s="162"/>
      <c r="GE136" s="162"/>
      <c r="GF136" s="162"/>
      <c r="GG136" s="162"/>
      <c r="GH136" s="162"/>
      <c r="GI136" s="162"/>
      <c r="GJ136" s="163"/>
      <c r="GK136" s="140"/>
      <c r="GL136" s="156"/>
      <c r="GM136" s="157"/>
      <c r="GN136" s="158"/>
      <c r="GO136" s="158"/>
      <c r="GP136" s="159"/>
      <c r="GQ136" s="160"/>
      <c r="GR136" s="160"/>
      <c r="GS136" s="162"/>
      <c r="GT136" s="162"/>
      <c r="GU136" s="162"/>
      <c r="GV136" s="162"/>
      <c r="GW136" s="162"/>
      <c r="GX136" s="162"/>
      <c r="GY136" s="162"/>
      <c r="GZ136" s="162"/>
      <c r="HA136" s="162"/>
      <c r="HB136" s="162"/>
      <c r="HC136" s="162"/>
      <c r="HD136" s="162"/>
      <c r="HE136" s="162"/>
      <c r="HF136" s="162"/>
      <c r="HG136" s="162"/>
      <c r="HH136" s="163"/>
      <c r="HI136" s="140"/>
      <c r="HJ136" s="156"/>
      <c r="HK136" s="157"/>
      <c r="HL136" s="158"/>
      <c r="HM136" s="158"/>
      <c r="HN136" s="159"/>
      <c r="HO136" s="160"/>
      <c r="HP136" s="160"/>
      <c r="HQ136" s="162"/>
      <c r="HR136" s="162"/>
      <c r="HS136" s="162"/>
      <c r="HT136" s="162"/>
      <c r="HU136" s="162"/>
      <c r="HV136" s="162"/>
      <c r="HW136" s="162"/>
      <c r="HX136" s="162"/>
      <c r="HY136" s="162"/>
      <c r="HZ136" s="162"/>
      <c r="IA136" s="162"/>
      <c r="IB136" s="162"/>
      <c r="IC136" s="162"/>
      <c r="ID136" s="162"/>
      <c r="IE136" s="162"/>
      <c r="IF136" s="163"/>
      <c r="IG136" s="140"/>
      <c r="IH136" s="156"/>
      <c r="II136" s="157"/>
      <c r="IJ136" s="158"/>
      <c r="IK136" s="158"/>
      <c r="IL136" s="159"/>
      <c r="IM136" s="160"/>
      <c r="IN136" s="160"/>
      <c r="IO136" s="162"/>
      <c r="IP136" s="162"/>
      <c r="IQ136" s="162"/>
      <c r="IR136" s="162"/>
      <c r="IS136" s="162"/>
      <c r="IT136" s="162"/>
      <c r="IU136" s="162"/>
      <c r="IV136" s="162"/>
    </row>
    <row r="137" spans="1:256" s="141" customFormat="1" ht="15" customHeight="1" x14ac:dyDescent="0.25">
      <c r="A137" s="138">
        <v>15.1</v>
      </c>
      <c r="B137" s="165" t="s">
        <v>408</v>
      </c>
      <c r="C137" s="110">
        <v>4110000</v>
      </c>
      <c r="D137" s="43" t="s">
        <v>114</v>
      </c>
      <c r="E137" s="43"/>
      <c r="F137" s="11">
        <v>362</v>
      </c>
      <c r="G137" s="81" t="s">
        <v>22</v>
      </c>
      <c r="H137" s="129">
        <v>12</v>
      </c>
      <c r="I137" s="151">
        <v>98231552</v>
      </c>
      <c r="J137" s="174" t="s">
        <v>432</v>
      </c>
      <c r="K137" s="55">
        <v>1137.8898305084747</v>
      </c>
      <c r="L137" s="55"/>
      <c r="M137" s="55"/>
      <c r="N137" s="80" t="s">
        <v>448</v>
      </c>
      <c r="O137" s="43"/>
      <c r="P137" s="83">
        <v>12</v>
      </c>
      <c r="Q137" s="83">
        <v>1138</v>
      </c>
      <c r="R137" s="83"/>
      <c r="S137" s="83"/>
      <c r="T137" s="83"/>
      <c r="U137" s="83"/>
      <c r="V137" s="83"/>
      <c r="W137" s="83"/>
      <c r="X137" s="167"/>
      <c r="Y137" s="168"/>
      <c r="Z137" s="168"/>
      <c r="AA137" s="168"/>
      <c r="AB137" s="168"/>
      <c r="AC137" s="168"/>
      <c r="AD137" s="168"/>
      <c r="AE137" s="168"/>
    </row>
    <row r="138" spans="1:256" s="141" customFormat="1" ht="30" x14ac:dyDescent="0.25">
      <c r="A138" s="138">
        <v>15.2</v>
      </c>
      <c r="B138" s="165" t="s">
        <v>408</v>
      </c>
      <c r="C138" s="110">
        <v>4110000</v>
      </c>
      <c r="D138" s="195" t="s">
        <v>115</v>
      </c>
      <c r="E138" s="195"/>
      <c r="F138" s="11">
        <v>362</v>
      </c>
      <c r="G138" s="81" t="s">
        <v>22</v>
      </c>
      <c r="H138" s="129">
        <v>12</v>
      </c>
      <c r="I138" s="151">
        <v>98201551</v>
      </c>
      <c r="J138" s="174" t="s">
        <v>433</v>
      </c>
      <c r="K138" s="55">
        <v>1703.2104017125625</v>
      </c>
      <c r="L138" s="55"/>
      <c r="M138" s="55"/>
      <c r="N138" s="80" t="s">
        <v>448</v>
      </c>
      <c r="O138" s="55"/>
      <c r="P138" s="24">
        <v>12</v>
      </c>
      <c r="Q138" s="55">
        <v>1703</v>
      </c>
      <c r="R138" s="83"/>
      <c r="S138" s="83"/>
      <c r="T138" s="83"/>
      <c r="U138" s="83"/>
      <c r="V138" s="83"/>
      <c r="W138" s="83"/>
      <c r="X138" s="167"/>
      <c r="Y138" s="168"/>
      <c r="Z138" s="168"/>
      <c r="AA138" s="168"/>
      <c r="AB138" s="168"/>
      <c r="AC138" s="168"/>
      <c r="AD138" s="168"/>
      <c r="AE138" s="168"/>
    </row>
    <row r="139" spans="1:256" s="141" customFormat="1" ht="30" x14ac:dyDescent="0.25">
      <c r="A139" s="138">
        <v>15.3</v>
      </c>
      <c r="B139" s="165" t="s">
        <v>408</v>
      </c>
      <c r="C139" s="110">
        <v>4110000</v>
      </c>
      <c r="D139" s="195" t="s">
        <v>116</v>
      </c>
      <c r="E139" s="195"/>
      <c r="F139" s="11">
        <v>362</v>
      </c>
      <c r="G139" s="81" t="s">
        <v>22</v>
      </c>
      <c r="H139" s="129">
        <v>12</v>
      </c>
      <c r="I139" s="151">
        <v>98401554</v>
      </c>
      <c r="J139" s="174" t="s">
        <v>437</v>
      </c>
      <c r="K139" s="55">
        <v>650.2270992382546</v>
      </c>
      <c r="L139" s="55"/>
      <c r="M139" s="55"/>
      <c r="N139" s="80" t="s">
        <v>448</v>
      </c>
      <c r="O139" s="55"/>
      <c r="P139" s="83">
        <v>12</v>
      </c>
      <c r="Q139" s="83">
        <v>650</v>
      </c>
      <c r="R139" s="83"/>
      <c r="S139" s="83"/>
      <c r="T139" s="83"/>
      <c r="U139" s="83"/>
      <c r="V139" s="83"/>
      <c r="W139" s="83"/>
      <c r="X139" s="167"/>
      <c r="Y139" s="168"/>
      <c r="Z139" s="168"/>
      <c r="AA139" s="168"/>
      <c r="AB139" s="168"/>
      <c r="AC139" s="168"/>
      <c r="AD139" s="168"/>
      <c r="AE139" s="168"/>
    </row>
    <row r="140" spans="1:256" s="141" customFormat="1" ht="30" x14ac:dyDescent="0.25">
      <c r="A140" s="138">
        <v>15.4</v>
      </c>
      <c r="B140" s="165" t="s">
        <v>408</v>
      </c>
      <c r="C140" s="110">
        <v>4110000</v>
      </c>
      <c r="D140" s="195" t="s">
        <v>117</v>
      </c>
      <c r="E140" s="195"/>
      <c r="F140" s="11">
        <v>362</v>
      </c>
      <c r="G140" s="81" t="s">
        <v>22</v>
      </c>
      <c r="H140" s="129">
        <v>12</v>
      </c>
      <c r="I140" s="151">
        <v>98222</v>
      </c>
      <c r="J140" s="174" t="s">
        <v>438</v>
      </c>
      <c r="K140" s="55">
        <v>376.3</v>
      </c>
      <c r="L140" s="55"/>
      <c r="M140" s="55"/>
      <c r="N140" s="80" t="s">
        <v>448</v>
      </c>
      <c r="O140" s="55"/>
      <c r="P140" s="83">
        <v>12</v>
      </c>
      <c r="Q140" s="83">
        <v>376</v>
      </c>
      <c r="R140" s="83"/>
      <c r="S140" s="83"/>
      <c r="T140" s="83"/>
      <c r="U140" s="83"/>
      <c r="V140" s="83"/>
      <c r="W140" s="83"/>
      <c r="X140" s="167"/>
      <c r="Y140" s="168"/>
      <c r="Z140" s="168"/>
      <c r="AA140" s="168"/>
      <c r="AB140" s="168"/>
      <c r="AC140" s="168"/>
      <c r="AD140" s="168"/>
      <c r="AE140" s="168"/>
    </row>
    <row r="141" spans="1:256" s="141" customFormat="1" ht="30" x14ac:dyDescent="0.25">
      <c r="A141" s="138">
        <v>15.5</v>
      </c>
      <c r="B141" s="165" t="s">
        <v>408</v>
      </c>
      <c r="C141" s="110"/>
      <c r="D141" s="195" t="s">
        <v>118</v>
      </c>
      <c r="E141" s="195"/>
      <c r="F141" s="11">
        <v>362</v>
      </c>
      <c r="G141" s="81" t="s">
        <v>22</v>
      </c>
      <c r="H141" s="129">
        <v>12</v>
      </c>
      <c r="I141" s="151">
        <v>98224551</v>
      </c>
      <c r="J141" s="174" t="s">
        <v>436</v>
      </c>
      <c r="K141" s="55">
        <v>3183.08</v>
      </c>
      <c r="L141" s="55"/>
      <c r="M141" s="55"/>
      <c r="N141" s="80" t="s">
        <v>448</v>
      </c>
      <c r="O141" s="55"/>
      <c r="P141" s="83">
        <v>12</v>
      </c>
      <c r="Q141" s="83">
        <v>3178</v>
      </c>
      <c r="R141" s="83"/>
      <c r="S141" s="83"/>
      <c r="T141" s="83"/>
      <c r="U141" s="83"/>
      <c r="V141" s="83"/>
      <c r="W141" s="83"/>
      <c r="X141" s="167"/>
      <c r="Y141" s="168"/>
      <c r="Z141" s="168"/>
      <c r="AA141" s="168"/>
      <c r="AB141" s="168"/>
      <c r="AC141" s="168"/>
      <c r="AD141" s="168"/>
      <c r="AE141" s="168"/>
    </row>
    <row r="142" spans="1:256" s="141" customFormat="1" ht="30" x14ac:dyDescent="0.25">
      <c r="A142" s="138">
        <v>15.6</v>
      </c>
      <c r="B142" s="165" t="s">
        <v>408</v>
      </c>
      <c r="C142" s="110">
        <v>4110000</v>
      </c>
      <c r="D142" s="195" t="s">
        <v>119</v>
      </c>
      <c r="E142" s="195"/>
      <c r="F142" s="11">
        <v>362</v>
      </c>
      <c r="G142" s="81" t="s">
        <v>22</v>
      </c>
      <c r="H142" s="129">
        <v>12</v>
      </c>
      <c r="I142" s="151">
        <v>98227501</v>
      </c>
      <c r="J142" s="174" t="s">
        <v>430</v>
      </c>
      <c r="K142" s="55">
        <v>17622.243388000003</v>
      </c>
      <c r="L142" s="55"/>
      <c r="M142" s="55"/>
      <c r="N142" s="80" t="s">
        <v>448</v>
      </c>
      <c r="O142" s="55"/>
      <c r="P142" s="83">
        <v>12</v>
      </c>
      <c r="Q142" s="83">
        <v>17622</v>
      </c>
      <c r="R142" s="83"/>
      <c r="S142" s="83"/>
      <c r="T142" s="83"/>
      <c r="U142" s="83"/>
      <c r="V142" s="83"/>
      <c r="W142" s="83"/>
      <c r="X142" s="167"/>
      <c r="Y142" s="168"/>
      <c r="Z142" s="168"/>
      <c r="AA142" s="168"/>
      <c r="AB142" s="168"/>
      <c r="AC142" s="168"/>
      <c r="AD142" s="168"/>
      <c r="AE142" s="168"/>
    </row>
    <row r="143" spans="1:256" s="141" customFormat="1" ht="30" x14ac:dyDescent="0.25">
      <c r="A143" s="138">
        <v>15.7</v>
      </c>
      <c r="B143" s="165" t="s">
        <v>408</v>
      </c>
      <c r="C143" s="110">
        <v>4110000</v>
      </c>
      <c r="D143" s="195" t="s">
        <v>120</v>
      </c>
      <c r="E143" s="195"/>
      <c r="F143" s="11">
        <v>362</v>
      </c>
      <c r="G143" s="81" t="s">
        <v>22</v>
      </c>
      <c r="H143" s="129">
        <v>12</v>
      </c>
      <c r="I143" s="151">
        <v>98229</v>
      </c>
      <c r="J143" s="174" t="s">
        <v>439</v>
      </c>
      <c r="K143" s="55">
        <v>2178.1776</v>
      </c>
      <c r="L143" s="55"/>
      <c r="M143" s="55"/>
      <c r="N143" s="80" t="s">
        <v>448</v>
      </c>
      <c r="O143" s="55"/>
      <c r="P143" s="83">
        <v>12</v>
      </c>
      <c r="Q143" s="83">
        <v>2178</v>
      </c>
      <c r="R143" s="83"/>
      <c r="S143" s="83"/>
      <c r="T143" s="83"/>
      <c r="U143" s="83"/>
      <c r="V143" s="83"/>
      <c r="W143" s="83"/>
      <c r="X143" s="167"/>
      <c r="Y143" s="168"/>
      <c r="Z143" s="168"/>
      <c r="AA143" s="168"/>
      <c r="AB143" s="168"/>
      <c r="AC143" s="168"/>
      <c r="AD143" s="168"/>
      <c r="AE143" s="168"/>
    </row>
    <row r="144" spans="1:256" s="141" customFormat="1" ht="30" x14ac:dyDescent="0.25">
      <c r="A144" s="138">
        <v>15.8</v>
      </c>
      <c r="B144" s="165" t="s">
        <v>408</v>
      </c>
      <c r="C144" s="110">
        <v>4110000</v>
      </c>
      <c r="D144" s="195" t="s">
        <v>121</v>
      </c>
      <c r="E144" s="195"/>
      <c r="F144" s="11">
        <v>362</v>
      </c>
      <c r="G144" s="81" t="s">
        <v>22</v>
      </c>
      <c r="H144" s="129">
        <v>12</v>
      </c>
      <c r="I144" s="151">
        <v>98404</v>
      </c>
      <c r="J144" s="174" t="s">
        <v>440</v>
      </c>
      <c r="K144" s="55">
        <v>3446</v>
      </c>
      <c r="L144" s="55"/>
      <c r="M144" s="55"/>
      <c r="N144" s="80" t="s">
        <v>448</v>
      </c>
      <c r="O144" s="55"/>
      <c r="P144" s="83">
        <v>12</v>
      </c>
      <c r="Q144" s="83">
        <v>3446</v>
      </c>
      <c r="R144" s="83"/>
      <c r="S144" s="83"/>
      <c r="T144" s="83"/>
      <c r="U144" s="83"/>
      <c r="V144" s="83"/>
      <c r="W144" s="83"/>
      <c r="X144" s="167"/>
      <c r="Y144" s="168"/>
      <c r="Z144" s="168"/>
      <c r="AA144" s="168"/>
      <c r="AB144" s="168"/>
      <c r="AC144" s="168"/>
      <c r="AD144" s="168"/>
      <c r="AE144" s="168"/>
    </row>
    <row r="145" spans="1:256" s="141" customFormat="1" ht="30" x14ac:dyDescent="0.25">
      <c r="A145" s="138">
        <v>15.9</v>
      </c>
      <c r="B145" s="165" t="s">
        <v>408</v>
      </c>
      <c r="C145" s="110">
        <v>4110000</v>
      </c>
      <c r="D145" s="195" t="s">
        <v>122</v>
      </c>
      <c r="E145" s="195"/>
      <c r="F145" s="11">
        <v>362</v>
      </c>
      <c r="G145" s="81" t="s">
        <v>22</v>
      </c>
      <c r="H145" s="129">
        <v>12</v>
      </c>
      <c r="I145" s="151">
        <v>98406</v>
      </c>
      <c r="J145" s="174" t="s">
        <v>441</v>
      </c>
      <c r="K145" s="55">
        <v>7205.0895</v>
      </c>
      <c r="L145" s="55"/>
      <c r="M145" s="55"/>
      <c r="N145" s="80" t="s">
        <v>448</v>
      </c>
      <c r="O145" s="55"/>
      <c r="P145" s="83">
        <v>12</v>
      </c>
      <c r="Q145" s="83">
        <v>7205</v>
      </c>
      <c r="R145" s="83"/>
      <c r="S145" s="83"/>
      <c r="T145" s="83"/>
      <c r="U145" s="83"/>
      <c r="V145" s="83"/>
      <c r="W145" s="83"/>
      <c r="X145" s="167"/>
      <c r="Y145" s="168"/>
      <c r="Z145" s="168"/>
      <c r="AA145" s="168"/>
      <c r="AB145" s="168"/>
      <c r="AC145" s="168"/>
      <c r="AD145" s="168"/>
      <c r="AE145" s="168"/>
    </row>
    <row r="146" spans="1:256" s="141" customFormat="1" ht="30" x14ac:dyDescent="0.25">
      <c r="A146" s="138">
        <v>15.1</v>
      </c>
      <c r="B146" s="165" t="s">
        <v>408</v>
      </c>
      <c r="C146" s="110">
        <v>4110000</v>
      </c>
      <c r="D146" s="195" t="s">
        <v>123</v>
      </c>
      <c r="E146" s="195"/>
      <c r="F146" s="11">
        <v>362</v>
      </c>
      <c r="G146" s="81" t="s">
        <v>22</v>
      </c>
      <c r="H146" s="129">
        <v>12</v>
      </c>
      <c r="I146" s="151">
        <v>98237551</v>
      </c>
      <c r="J146" s="174" t="s">
        <v>445</v>
      </c>
      <c r="K146" s="55">
        <v>691.05084745762724</v>
      </c>
      <c r="L146" s="55"/>
      <c r="M146" s="55"/>
      <c r="N146" s="80" t="s">
        <v>448</v>
      </c>
      <c r="O146" s="55"/>
      <c r="P146" s="83">
        <v>12</v>
      </c>
      <c r="Q146" s="83">
        <v>691</v>
      </c>
      <c r="R146" s="83"/>
      <c r="S146" s="83"/>
      <c r="T146" s="83"/>
      <c r="U146" s="83"/>
      <c r="V146" s="83"/>
      <c r="W146" s="83"/>
      <c r="X146" s="167"/>
      <c r="Y146" s="168"/>
      <c r="Z146" s="168"/>
      <c r="AA146" s="168"/>
      <c r="AB146" s="168"/>
      <c r="AC146" s="168"/>
      <c r="AD146" s="168"/>
      <c r="AE146" s="168"/>
    </row>
    <row r="147" spans="1:256" s="141" customFormat="1" ht="30" x14ac:dyDescent="0.25">
      <c r="A147" s="138">
        <v>15.11</v>
      </c>
      <c r="B147" s="165" t="s">
        <v>408</v>
      </c>
      <c r="C147" s="110">
        <v>4110000</v>
      </c>
      <c r="D147" s="195" t="s">
        <v>124</v>
      </c>
      <c r="E147" s="195"/>
      <c r="F147" s="11">
        <v>362</v>
      </c>
      <c r="G147" s="81" t="s">
        <v>22</v>
      </c>
      <c r="H147" s="129">
        <v>12</v>
      </c>
      <c r="I147" s="151">
        <v>98231509</v>
      </c>
      <c r="J147" s="174" t="s">
        <v>443</v>
      </c>
      <c r="K147" s="55">
        <v>1622.41</v>
      </c>
      <c r="L147" s="55"/>
      <c r="M147" s="55"/>
      <c r="N147" s="80" t="s">
        <v>448</v>
      </c>
      <c r="O147" s="55"/>
      <c r="P147" s="83">
        <v>12</v>
      </c>
      <c r="Q147" s="83">
        <v>1622</v>
      </c>
      <c r="R147" s="83"/>
      <c r="S147" s="83"/>
      <c r="T147" s="83"/>
      <c r="U147" s="83"/>
      <c r="V147" s="83"/>
      <c r="W147" s="83"/>
      <c r="X147" s="167"/>
      <c r="Y147" s="168"/>
      <c r="Z147" s="168"/>
      <c r="AA147" s="168"/>
      <c r="AB147" s="168"/>
      <c r="AC147" s="168"/>
      <c r="AD147" s="168"/>
      <c r="AE147" s="168"/>
    </row>
    <row r="148" spans="1:256" s="141" customFormat="1" ht="30" x14ac:dyDescent="0.25">
      <c r="A148" s="138">
        <v>15.12</v>
      </c>
      <c r="B148" s="165" t="s">
        <v>408</v>
      </c>
      <c r="C148" s="110">
        <v>4110000</v>
      </c>
      <c r="D148" s="195" t="s">
        <v>125</v>
      </c>
      <c r="E148" s="195"/>
      <c r="F148" s="11">
        <v>362</v>
      </c>
      <c r="G148" s="81" t="s">
        <v>22</v>
      </c>
      <c r="H148" s="129">
        <v>12</v>
      </c>
      <c r="I148" s="151">
        <v>98254551</v>
      </c>
      <c r="J148" s="24" t="s">
        <v>442</v>
      </c>
      <c r="K148" s="55">
        <v>886.07270999999992</v>
      </c>
      <c r="L148" s="55"/>
      <c r="M148" s="55"/>
      <c r="N148" s="80" t="s">
        <v>448</v>
      </c>
      <c r="O148" s="55"/>
      <c r="P148" s="83">
        <v>12</v>
      </c>
      <c r="Q148" s="83">
        <v>886</v>
      </c>
      <c r="R148" s="83"/>
      <c r="S148" s="83"/>
      <c r="T148" s="83"/>
      <c r="U148" s="83"/>
      <c r="V148" s="83"/>
      <c r="W148" s="83"/>
      <c r="X148" s="167"/>
      <c r="Y148" s="168"/>
      <c r="Z148" s="168"/>
      <c r="AA148" s="168"/>
      <c r="AB148" s="168"/>
      <c r="AC148" s="168"/>
      <c r="AD148" s="168"/>
      <c r="AE148" s="168"/>
    </row>
    <row r="149" spans="1:256" s="141" customFormat="1" ht="30" x14ac:dyDescent="0.25">
      <c r="A149" s="138">
        <v>15.13</v>
      </c>
      <c r="B149" s="165" t="s">
        <v>408</v>
      </c>
      <c r="C149" s="110">
        <v>4110000</v>
      </c>
      <c r="D149" s="195" t="s">
        <v>126</v>
      </c>
      <c r="E149" s="195"/>
      <c r="F149" s="11">
        <v>362</v>
      </c>
      <c r="G149" s="81" t="s">
        <v>22</v>
      </c>
      <c r="H149" s="129">
        <v>12</v>
      </c>
      <c r="I149" s="151">
        <v>98401</v>
      </c>
      <c r="J149" s="174" t="s">
        <v>429</v>
      </c>
      <c r="K149" s="55">
        <v>135140.43801888361</v>
      </c>
      <c r="L149" s="55"/>
      <c r="M149" s="55"/>
      <c r="N149" s="80" t="s">
        <v>448</v>
      </c>
      <c r="O149" s="55"/>
      <c r="P149" s="83">
        <v>12</v>
      </c>
      <c r="Q149" s="83">
        <v>135140</v>
      </c>
      <c r="R149" s="83"/>
      <c r="S149" s="83"/>
      <c r="T149" s="83"/>
      <c r="U149" s="83"/>
      <c r="V149" s="83"/>
      <c r="W149" s="83"/>
      <c r="X149" s="167"/>
      <c r="Y149" s="168"/>
      <c r="Z149" s="168"/>
      <c r="AA149" s="168"/>
      <c r="AB149" s="168"/>
      <c r="AC149" s="168"/>
      <c r="AD149" s="168"/>
      <c r="AE149" s="168"/>
    </row>
    <row r="150" spans="1:256" s="164" customFormat="1" ht="14.25" x14ac:dyDescent="0.2">
      <c r="A150" s="140">
        <v>16</v>
      </c>
      <c r="B150" s="156"/>
      <c r="C150" s="157"/>
      <c r="D150" s="158" t="s">
        <v>127</v>
      </c>
      <c r="E150" s="158"/>
      <c r="F150" s="159"/>
      <c r="G150" s="160"/>
      <c r="H150" s="160"/>
      <c r="I150" s="161"/>
      <c r="J150" s="162"/>
      <c r="K150" s="162"/>
      <c r="L150" s="162"/>
      <c r="M150" s="162"/>
      <c r="N150" s="162"/>
      <c r="O150" s="162"/>
      <c r="P150" s="162"/>
      <c r="Q150" s="162"/>
      <c r="R150" s="162"/>
      <c r="S150" s="162"/>
      <c r="T150" s="162"/>
      <c r="U150" s="162"/>
      <c r="V150" s="162"/>
      <c r="W150" s="162"/>
      <c r="X150" s="163"/>
      <c r="Y150" s="140"/>
      <c r="Z150" s="156"/>
      <c r="AA150" s="157"/>
      <c r="AB150" s="158"/>
      <c r="AC150" s="158"/>
      <c r="AD150" s="159"/>
      <c r="AE150" s="160"/>
      <c r="AF150" s="160"/>
      <c r="AG150" s="162"/>
      <c r="AH150" s="162"/>
      <c r="AI150" s="162"/>
      <c r="AJ150" s="162"/>
      <c r="AK150" s="162"/>
      <c r="AL150" s="162"/>
      <c r="AM150" s="162"/>
      <c r="AN150" s="162"/>
      <c r="AO150" s="162"/>
      <c r="AP150" s="162"/>
      <c r="AQ150" s="162"/>
      <c r="AR150" s="162"/>
      <c r="AS150" s="162"/>
      <c r="AT150" s="162"/>
      <c r="AU150" s="162"/>
      <c r="AV150" s="163"/>
      <c r="AW150" s="140"/>
      <c r="AX150" s="156"/>
      <c r="AY150" s="157"/>
      <c r="AZ150" s="158"/>
      <c r="BA150" s="158"/>
      <c r="BB150" s="159"/>
      <c r="BC150" s="160"/>
      <c r="BD150" s="160"/>
      <c r="BE150" s="162"/>
      <c r="BF150" s="162"/>
      <c r="BG150" s="162"/>
      <c r="BH150" s="162"/>
      <c r="BI150" s="162"/>
      <c r="BJ150" s="162"/>
      <c r="BK150" s="162"/>
      <c r="BL150" s="162"/>
      <c r="BM150" s="162"/>
      <c r="BN150" s="162"/>
      <c r="BO150" s="162"/>
      <c r="BP150" s="162"/>
      <c r="BQ150" s="162"/>
      <c r="BR150" s="162"/>
      <c r="BS150" s="162"/>
      <c r="BT150" s="163"/>
      <c r="BU150" s="140"/>
      <c r="BV150" s="156"/>
      <c r="BW150" s="157"/>
      <c r="BX150" s="158"/>
      <c r="BY150" s="158"/>
      <c r="BZ150" s="159"/>
      <c r="CA150" s="160"/>
      <c r="CB150" s="160"/>
      <c r="CC150" s="162"/>
      <c r="CD150" s="162"/>
      <c r="CE150" s="162"/>
      <c r="CF150" s="162"/>
      <c r="CG150" s="162"/>
      <c r="CH150" s="162"/>
      <c r="CI150" s="162"/>
      <c r="CJ150" s="162"/>
      <c r="CK150" s="162"/>
      <c r="CL150" s="162"/>
      <c r="CM150" s="162"/>
      <c r="CN150" s="162"/>
      <c r="CO150" s="162"/>
      <c r="CP150" s="162"/>
      <c r="CQ150" s="162"/>
      <c r="CR150" s="163"/>
      <c r="CS150" s="140"/>
      <c r="CT150" s="156"/>
      <c r="CU150" s="157"/>
      <c r="CV150" s="158"/>
      <c r="CW150" s="158"/>
      <c r="CX150" s="159"/>
      <c r="CY150" s="160"/>
      <c r="CZ150" s="160"/>
      <c r="DA150" s="162"/>
      <c r="DB150" s="162"/>
      <c r="DC150" s="162"/>
      <c r="DD150" s="162"/>
      <c r="DE150" s="162"/>
      <c r="DF150" s="162"/>
      <c r="DG150" s="162"/>
      <c r="DH150" s="162"/>
      <c r="DI150" s="162"/>
      <c r="DJ150" s="162"/>
      <c r="DK150" s="162"/>
      <c r="DL150" s="162"/>
      <c r="DM150" s="162"/>
      <c r="DN150" s="162"/>
      <c r="DO150" s="162"/>
      <c r="DP150" s="163"/>
      <c r="DQ150" s="140"/>
      <c r="DR150" s="156"/>
      <c r="DS150" s="157"/>
      <c r="DT150" s="158"/>
      <c r="DU150" s="158"/>
      <c r="DV150" s="159"/>
      <c r="DW150" s="160"/>
      <c r="DX150" s="160"/>
      <c r="DY150" s="162"/>
      <c r="DZ150" s="162"/>
      <c r="EA150" s="162"/>
      <c r="EB150" s="162"/>
      <c r="EC150" s="162"/>
      <c r="ED150" s="162"/>
      <c r="EE150" s="162"/>
      <c r="EF150" s="162"/>
      <c r="EG150" s="162"/>
      <c r="EH150" s="162"/>
      <c r="EI150" s="162"/>
      <c r="EJ150" s="162"/>
      <c r="EK150" s="162"/>
      <c r="EL150" s="162"/>
      <c r="EM150" s="162"/>
      <c r="EN150" s="163"/>
      <c r="EO150" s="140"/>
      <c r="EP150" s="156"/>
      <c r="EQ150" s="157"/>
      <c r="ER150" s="158"/>
      <c r="ES150" s="158"/>
      <c r="ET150" s="159"/>
      <c r="EU150" s="160"/>
      <c r="EV150" s="160"/>
      <c r="EW150" s="162"/>
      <c r="EX150" s="162"/>
      <c r="EY150" s="162"/>
      <c r="EZ150" s="162"/>
      <c r="FA150" s="162"/>
      <c r="FB150" s="162"/>
      <c r="FC150" s="162"/>
      <c r="FD150" s="162"/>
      <c r="FE150" s="162"/>
      <c r="FF150" s="162"/>
      <c r="FG150" s="162"/>
      <c r="FH150" s="162"/>
      <c r="FI150" s="162"/>
      <c r="FJ150" s="162"/>
      <c r="FK150" s="162"/>
      <c r="FL150" s="163"/>
      <c r="FM150" s="140"/>
      <c r="FN150" s="156"/>
      <c r="FO150" s="157"/>
      <c r="FP150" s="158"/>
      <c r="FQ150" s="158"/>
      <c r="FR150" s="159"/>
      <c r="FS150" s="160"/>
      <c r="FT150" s="160"/>
      <c r="FU150" s="162"/>
      <c r="FV150" s="162"/>
      <c r="FW150" s="162"/>
      <c r="FX150" s="162"/>
      <c r="FY150" s="162"/>
      <c r="FZ150" s="162"/>
      <c r="GA150" s="162"/>
      <c r="GB150" s="162"/>
      <c r="GC150" s="162"/>
      <c r="GD150" s="162"/>
      <c r="GE150" s="162"/>
      <c r="GF150" s="162"/>
      <c r="GG150" s="162"/>
      <c r="GH150" s="162"/>
      <c r="GI150" s="162"/>
      <c r="GJ150" s="163"/>
      <c r="GK150" s="140"/>
      <c r="GL150" s="156"/>
      <c r="GM150" s="157"/>
      <c r="GN150" s="158"/>
      <c r="GO150" s="158"/>
      <c r="GP150" s="159"/>
      <c r="GQ150" s="160"/>
      <c r="GR150" s="160"/>
      <c r="GS150" s="162"/>
      <c r="GT150" s="162"/>
      <c r="GU150" s="162"/>
      <c r="GV150" s="162"/>
      <c r="GW150" s="162"/>
      <c r="GX150" s="162"/>
      <c r="GY150" s="162"/>
      <c r="GZ150" s="162"/>
      <c r="HA150" s="162"/>
      <c r="HB150" s="162"/>
      <c r="HC150" s="162"/>
      <c r="HD150" s="162"/>
      <c r="HE150" s="162"/>
      <c r="HF150" s="162"/>
      <c r="HG150" s="162"/>
      <c r="HH150" s="163"/>
      <c r="HI150" s="140"/>
      <c r="HJ150" s="156"/>
      <c r="HK150" s="157"/>
      <c r="HL150" s="158"/>
      <c r="HM150" s="158"/>
      <c r="HN150" s="159"/>
      <c r="HO150" s="160"/>
      <c r="HP150" s="160"/>
      <c r="HQ150" s="162"/>
      <c r="HR150" s="162"/>
      <c r="HS150" s="162"/>
      <c r="HT150" s="162"/>
      <c r="HU150" s="162"/>
      <c r="HV150" s="162"/>
      <c r="HW150" s="162"/>
      <c r="HX150" s="162"/>
      <c r="HY150" s="162"/>
      <c r="HZ150" s="162"/>
      <c r="IA150" s="162"/>
      <c r="IB150" s="162"/>
      <c r="IC150" s="162"/>
      <c r="ID150" s="162"/>
      <c r="IE150" s="162"/>
      <c r="IF150" s="163"/>
      <c r="IG150" s="140"/>
      <c r="IH150" s="156"/>
      <c r="II150" s="157"/>
      <c r="IJ150" s="158"/>
      <c r="IK150" s="158"/>
      <c r="IL150" s="159"/>
      <c r="IM150" s="160"/>
      <c r="IN150" s="160"/>
      <c r="IO150" s="162"/>
      <c r="IP150" s="162"/>
      <c r="IQ150" s="162"/>
      <c r="IR150" s="162"/>
      <c r="IS150" s="162"/>
      <c r="IT150" s="162"/>
      <c r="IU150" s="162"/>
      <c r="IV150" s="162"/>
    </row>
    <row r="151" spans="1:256" s="141" customFormat="1" ht="30" x14ac:dyDescent="0.25">
      <c r="A151" s="138">
        <v>16.100000000000001</v>
      </c>
      <c r="B151" s="165" t="s">
        <v>407</v>
      </c>
      <c r="C151" s="110">
        <v>4030000</v>
      </c>
      <c r="D151" s="43" t="s">
        <v>114</v>
      </c>
      <c r="E151" s="43"/>
      <c r="F151" s="11">
        <v>233</v>
      </c>
      <c r="G151" s="11" t="s">
        <v>454</v>
      </c>
      <c r="H151" s="129">
        <v>10</v>
      </c>
      <c r="I151" s="151">
        <v>98231552</v>
      </c>
      <c r="J151" s="174" t="s">
        <v>432</v>
      </c>
      <c r="K151" s="55">
        <v>22121.522400000002</v>
      </c>
      <c r="L151" s="55"/>
      <c r="M151" s="55"/>
      <c r="N151" s="80" t="s">
        <v>448</v>
      </c>
      <c r="O151" s="55"/>
      <c r="P151" s="83">
        <v>12</v>
      </c>
      <c r="Q151" s="83">
        <v>22121.522400000002</v>
      </c>
      <c r="R151" s="83"/>
      <c r="S151" s="83"/>
      <c r="T151" s="83"/>
      <c r="U151" s="83"/>
      <c r="V151" s="83"/>
      <c r="W151" s="83"/>
      <c r="X151" s="167"/>
      <c r="Y151" s="168"/>
      <c r="Z151" s="168"/>
      <c r="AA151" s="168"/>
      <c r="AB151" s="168"/>
      <c r="AC151" s="168"/>
      <c r="AD151" s="168"/>
      <c r="AE151" s="168"/>
    </row>
    <row r="152" spans="1:256" s="141" customFormat="1" ht="30" x14ac:dyDescent="0.25">
      <c r="A152" s="138">
        <v>16.2</v>
      </c>
      <c r="B152" s="165" t="s">
        <v>407</v>
      </c>
      <c r="C152" s="110">
        <v>4030000</v>
      </c>
      <c r="D152" s="195" t="s">
        <v>115</v>
      </c>
      <c r="E152" s="195"/>
      <c r="F152" s="11">
        <v>233</v>
      </c>
      <c r="G152" s="11" t="s">
        <v>454</v>
      </c>
      <c r="H152" s="129">
        <v>12</v>
      </c>
      <c r="I152" s="151">
        <v>98201551</v>
      </c>
      <c r="J152" s="174" t="s">
        <v>433</v>
      </c>
      <c r="K152" s="55">
        <v>64723.259520000007</v>
      </c>
      <c r="L152" s="55"/>
      <c r="M152" s="55"/>
      <c r="N152" s="80" t="s">
        <v>448</v>
      </c>
      <c r="O152" s="55"/>
      <c r="P152" s="83">
        <v>12</v>
      </c>
      <c r="Q152" s="83">
        <v>64723.259520000007</v>
      </c>
      <c r="R152" s="83"/>
      <c r="S152" s="83"/>
      <c r="T152" s="83"/>
      <c r="U152" s="83"/>
      <c r="V152" s="83"/>
      <c r="W152" s="83"/>
      <c r="X152" s="167"/>
      <c r="Y152" s="168"/>
      <c r="Z152" s="168"/>
      <c r="AA152" s="168"/>
      <c r="AB152" s="168"/>
      <c r="AC152" s="168"/>
      <c r="AD152" s="168"/>
      <c r="AE152" s="168"/>
    </row>
    <row r="153" spans="1:256" s="141" customFormat="1" ht="30" x14ac:dyDescent="0.25">
      <c r="A153" s="138">
        <v>16.3</v>
      </c>
      <c r="B153" s="165" t="s">
        <v>407</v>
      </c>
      <c r="C153" s="110">
        <v>4030000</v>
      </c>
      <c r="D153" s="195" t="s">
        <v>128</v>
      </c>
      <c r="E153" s="195"/>
      <c r="F153" s="11">
        <v>233</v>
      </c>
      <c r="G153" s="11" t="s">
        <v>454</v>
      </c>
      <c r="H153" s="129">
        <v>34</v>
      </c>
      <c r="I153" s="151">
        <v>98218501</v>
      </c>
      <c r="J153" s="174" t="s">
        <v>434</v>
      </c>
      <c r="K153" s="55">
        <v>93748.99</v>
      </c>
      <c r="L153" s="55"/>
      <c r="M153" s="55"/>
      <c r="N153" s="80" t="s">
        <v>448</v>
      </c>
      <c r="O153" s="55"/>
      <c r="P153" s="83">
        <v>12</v>
      </c>
      <c r="Q153" s="83">
        <v>93748.99</v>
      </c>
      <c r="R153" s="83"/>
      <c r="S153" s="83"/>
      <c r="T153" s="83"/>
      <c r="U153" s="83"/>
      <c r="V153" s="83"/>
      <c r="W153" s="83"/>
      <c r="X153" s="167"/>
      <c r="Y153" s="168"/>
      <c r="Z153" s="168"/>
      <c r="AA153" s="168"/>
      <c r="AB153" s="168"/>
      <c r="AC153" s="168"/>
      <c r="AD153" s="168"/>
      <c r="AE153" s="168"/>
    </row>
    <row r="154" spans="1:256" s="141" customFormat="1" ht="30" x14ac:dyDescent="0.25">
      <c r="A154" s="138">
        <v>16.399999999999999</v>
      </c>
      <c r="B154" s="165" t="s">
        <v>407</v>
      </c>
      <c r="C154" s="110">
        <v>4030000</v>
      </c>
      <c r="D154" s="195" t="s">
        <v>116</v>
      </c>
      <c r="E154" s="195"/>
      <c r="F154" s="11">
        <v>233</v>
      </c>
      <c r="G154" s="11" t="s">
        <v>454</v>
      </c>
      <c r="H154" s="129">
        <v>12</v>
      </c>
      <c r="I154" s="151">
        <v>98401554</v>
      </c>
      <c r="J154" s="174" t="s">
        <v>437</v>
      </c>
      <c r="K154" s="55">
        <v>13302.971880000003</v>
      </c>
      <c r="L154" s="55"/>
      <c r="M154" s="55"/>
      <c r="N154" s="80" t="s">
        <v>448</v>
      </c>
      <c r="O154" s="55"/>
      <c r="P154" s="83">
        <v>12</v>
      </c>
      <c r="Q154" s="83">
        <v>13302.971880000003</v>
      </c>
      <c r="R154" s="83"/>
      <c r="S154" s="83"/>
      <c r="T154" s="83"/>
      <c r="U154" s="83"/>
      <c r="V154" s="83"/>
      <c r="W154" s="83"/>
      <c r="X154" s="167"/>
      <c r="Y154" s="168"/>
      <c r="Z154" s="168"/>
      <c r="AA154" s="168"/>
      <c r="AB154" s="168"/>
      <c r="AC154" s="168"/>
      <c r="AD154" s="168"/>
      <c r="AE154" s="168"/>
    </row>
    <row r="155" spans="1:256" s="141" customFormat="1" ht="30" x14ac:dyDescent="0.25">
      <c r="A155" s="138">
        <v>16.5</v>
      </c>
      <c r="B155" s="165" t="s">
        <v>407</v>
      </c>
      <c r="C155" s="110">
        <v>4030000</v>
      </c>
      <c r="D155" s="195" t="s">
        <v>117</v>
      </c>
      <c r="E155" s="195"/>
      <c r="F155" s="11">
        <v>233</v>
      </c>
      <c r="G155" s="11" t="s">
        <v>454</v>
      </c>
      <c r="H155" s="129">
        <v>12</v>
      </c>
      <c r="I155" s="151">
        <v>98222</v>
      </c>
      <c r="J155" s="174" t="s">
        <v>438</v>
      </c>
      <c r="K155" s="55">
        <v>51963.434999999998</v>
      </c>
      <c r="L155" s="55"/>
      <c r="M155" s="55"/>
      <c r="N155" s="80" t="s">
        <v>448</v>
      </c>
      <c r="O155" s="55"/>
      <c r="P155" s="83">
        <v>12</v>
      </c>
      <c r="Q155" s="83">
        <v>51963.434999999998</v>
      </c>
      <c r="R155" s="83"/>
      <c r="S155" s="83"/>
      <c r="T155" s="83"/>
      <c r="U155" s="83"/>
      <c r="V155" s="83"/>
      <c r="W155" s="83"/>
      <c r="X155" s="167"/>
      <c r="Y155" s="168"/>
      <c r="Z155" s="168"/>
      <c r="AA155" s="168"/>
      <c r="AB155" s="168"/>
      <c r="AC155" s="168"/>
      <c r="AD155" s="168"/>
      <c r="AE155" s="168"/>
    </row>
    <row r="156" spans="1:256" s="141" customFormat="1" ht="30" x14ac:dyDescent="0.25">
      <c r="A156" s="138">
        <v>16.600000000000001</v>
      </c>
      <c r="B156" s="165" t="s">
        <v>407</v>
      </c>
      <c r="C156" s="110">
        <v>4030000</v>
      </c>
      <c r="D156" s="195" t="s">
        <v>118</v>
      </c>
      <c r="E156" s="195"/>
      <c r="F156" s="11">
        <v>233</v>
      </c>
      <c r="G156" s="11" t="s">
        <v>454</v>
      </c>
      <c r="H156" s="129">
        <v>14.9</v>
      </c>
      <c r="I156" s="151">
        <v>98224551</v>
      </c>
      <c r="J156" s="174" t="s">
        <v>436</v>
      </c>
      <c r="K156" s="55">
        <v>45184.78</v>
      </c>
      <c r="L156" s="55"/>
      <c r="M156" s="55"/>
      <c r="N156" s="80" t="s">
        <v>448</v>
      </c>
      <c r="O156" s="55"/>
      <c r="P156" s="83">
        <v>12</v>
      </c>
      <c r="Q156" s="83">
        <v>45184.78</v>
      </c>
      <c r="R156" s="83"/>
      <c r="S156" s="83"/>
      <c r="T156" s="83"/>
      <c r="U156" s="83"/>
      <c r="V156" s="83"/>
      <c r="W156" s="83"/>
      <c r="X156" s="167"/>
      <c r="Y156" s="168"/>
      <c r="Z156" s="168"/>
      <c r="AA156" s="168"/>
      <c r="AB156" s="168"/>
      <c r="AC156" s="168"/>
      <c r="AD156" s="168"/>
      <c r="AE156" s="168"/>
    </row>
    <row r="157" spans="1:256" s="141" customFormat="1" ht="30" x14ac:dyDescent="0.25">
      <c r="A157" s="138">
        <v>16.7</v>
      </c>
      <c r="B157" s="165" t="s">
        <v>407</v>
      </c>
      <c r="C157" s="110">
        <v>4030000</v>
      </c>
      <c r="D157" s="195" t="s">
        <v>119</v>
      </c>
      <c r="E157" s="195"/>
      <c r="F157" s="11">
        <v>233</v>
      </c>
      <c r="G157" s="11" t="s">
        <v>454</v>
      </c>
      <c r="H157" s="129">
        <v>191</v>
      </c>
      <c r="I157" s="151">
        <v>98227501</v>
      </c>
      <c r="J157" s="174" t="s">
        <v>430</v>
      </c>
      <c r="K157" s="55">
        <v>690838.29220000003</v>
      </c>
      <c r="L157" s="55"/>
      <c r="M157" s="55"/>
      <c r="N157" s="80" t="s">
        <v>448</v>
      </c>
      <c r="O157" s="55"/>
      <c r="P157" s="83">
        <v>12</v>
      </c>
      <c r="Q157" s="83">
        <v>690838.29220000003</v>
      </c>
      <c r="R157" s="83"/>
      <c r="S157" s="83"/>
      <c r="T157" s="83"/>
      <c r="U157" s="83"/>
      <c r="V157" s="83"/>
      <c r="W157" s="83"/>
      <c r="X157" s="167"/>
      <c r="Y157" s="168"/>
      <c r="Z157" s="168"/>
      <c r="AA157" s="168"/>
      <c r="AB157" s="168"/>
      <c r="AC157" s="168"/>
      <c r="AD157" s="168"/>
      <c r="AE157" s="168"/>
    </row>
    <row r="158" spans="1:256" s="141" customFormat="1" ht="30" x14ac:dyDescent="0.25">
      <c r="A158" s="138">
        <v>16.8</v>
      </c>
      <c r="B158" s="165" t="s">
        <v>407</v>
      </c>
      <c r="C158" s="110">
        <v>4030000</v>
      </c>
      <c r="D158" s="195" t="s">
        <v>120</v>
      </c>
      <c r="E158" s="195"/>
      <c r="F158" s="11">
        <v>233</v>
      </c>
      <c r="G158" s="11" t="s">
        <v>454</v>
      </c>
      <c r="H158" s="129">
        <v>12</v>
      </c>
      <c r="I158" s="151">
        <v>98229</v>
      </c>
      <c r="J158" s="174" t="s">
        <v>439</v>
      </c>
      <c r="K158" s="55">
        <v>18720.078000000001</v>
      </c>
      <c r="L158" s="55"/>
      <c r="M158" s="55"/>
      <c r="N158" s="80" t="s">
        <v>448</v>
      </c>
      <c r="O158" s="55"/>
      <c r="P158" s="83">
        <v>12</v>
      </c>
      <c r="Q158" s="83">
        <v>18720.078000000001</v>
      </c>
      <c r="R158" s="83"/>
      <c r="S158" s="83"/>
      <c r="T158" s="83"/>
      <c r="U158" s="83"/>
      <c r="V158" s="83"/>
      <c r="W158" s="83"/>
      <c r="X158" s="167"/>
      <c r="Y158" s="168"/>
      <c r="Z158" s="168"/>
      <c r="AA158" s="168"/>
      <c r="AB158" s="168"/>
      <c r="AC158" s="168"/>
      <c r="AD158" s="168"/>
      <c r="AE158" s="168"/>
    </row>
    <row r="159" spans="1:256" s="141" customFormat="1" ht="30" x14ac:dyDescent="0.25">
      <c r="A159" s="138">
        <v>16.899999999999999</v>
      </c>
      <c r="B159" s="165" t="s">
        <v>407</v>
      </c>
      <c r="C159" s="110">
        <v>4030000</v>
      </c>
      <c r="D159" s="195" t="s">
        <v>121</v>
      </c>
      <c r="E159" s="195"/>
      <c r="F159" s="11">
        <v>233</v>
      </c>
      <c r="G159" s="11" t="s">
        <v>454</v>
      </c>
      <c r="H159" s="129">
        <v>68.599999999999994</v>
      </c>
      <c r="I159" s="151">
        <v>98404</v>
      </c>
      <c r="J159" s="174" t="s">
        <v>440</v>
      </c>
      <c r="K159" s="55">
        <v>100227.1</v>
      </c>
      <c r="L159" s="55"/>
      <c r="M159" s="55"/>
      <c r="N159" s="80" t="s">
        <v>448</v>
      </c>
      <c r="O159" s="55"/>
      <c r="P159" s="83">
        <v>12</v>
      </c>
      <c r="Q159" s="83">
        <v>100227.1</v>
      </c>
      <c r="R159" s="83"/>
      <c r="S159" s="83"/>
      <c r="T159" s="83"/>
      <c r="U159" s="83"/>
      <c r="V159" s="83"/>
      <c r="W159" s="83"/>
      <c r="X159" s="167"/>
      <c r="Y159" s="168"/>
      <c r="Z159" s="168"/>
      <c r="AA159" s="168"/>
      <c r="AB159" s="168"/>
      <c r="AC159" s="168"/>
      <c r="AD159" s="168"/>
      <c r="AE159" s="168"/>
    </row>
    <row r="160" spans="1:256" s="141" customFormat="1" ht="30" x14ac:dyDescent="0.25">
      <c r="A160" s="138">
        <v>16.100000000000001</v>
      </c>
      <c r="B160" s="165" t="s">
        <v>407</v>
      </c>
      <c r="C160" s="110">
        <v>4030000</v>
      </c>
      <c r="D160" s="195" t="s">
        <v>122</v>
      </c>
      <c r="E160" s="195"/>
      <c r="F160" s="11">
        <v>233</v>
      </c>
      <c r="G160" s="11" t="s">
        <v>454</v>
      </c>
      <c r="H160" s="129">
        <v>30.8</v>
      </c>
      <c r="I160" s="151">
        <v>98406</v>
      </c>
      <c r="J160" s="174" t="s">
        <v>441</v>
      </c>
      <c r="K160" s="55">
        <v>53237.49760000001</v>
      </c>
      <c r="L160" s="55"/>
      <c r="M160" s="55"/>
      <c r="N160" s="80" t="s">
        <v>448</v>
      </c>
      <c r="O160" s="55"/>
      <c r="P160" s="83">
        <v>12</v>
      </c>
      <c r="Q160" s="83">
        <v>53237.49760000001</v>
      </c>
      <c r="R160" s="83"/>
      <c r="S160" s="83"/>
      <c r="T160" s="83"/>
      <c r="U160" s="83"/>
      <c r="V160" s="83"/>
      <c r="W160" s="83"/>
      <c r="X160" s="167"/>
      <c r="Y160" s="168"/>
      <c r="Z160" s="168"/>
      <c r="AA160" s="168"/>
      <c r="AB160" s="168"/>
      <c r="AC160" s="168"/>
      <c r="AD160" s="168"/>
      <c r="AE160" s="168"/>
    </row>
    <row r="161" spans="1:256" s="141" customFormat="1" ht="30" x14ac:dyDescent="0.25">
      <c r="A161" s="138">
        <v>16.11</v>
      </c>
      <c r="B161" s="165" t="s">
        <v>407</v>
      </c>
      <c r="C161" s="110">
        <v>4030000</v>
      </c>
      <c r="D161" s="195" t="s">
        <v>123</v>
      </c>
      <c r="E161" s="195"/>
      <c r="F161" s="11">
        <v>233</v>
      </c>
      <c r="G161" s="11" t="s">
        <v>454</v>
      </c>
      <c r="H161" s="129">
        <v>9.61</v>
      </c>
      <c r="I161" s="151">
        <v>98237551</v>
      </c>
      <c r="J161" s="174" t="s">
        <v>445</v>
      </c>
      <c r="K161" s="55">
        <v>40065.305084745763</v>
      </c>
      <c r="L161" s="55"/>
      <c r="M161" s="55"/>
      <c r="N161" s="80" t="s">
        <v>448</v>
      </c>
      <c r="O161" s="55"/>
      <c r="P161" s="83">
        <v>12</v>
      </c>
      <c r="Q161" s="83">
        <v>40065.305084745763</v>
      </c>
      <c r="R161" s="83"/>
      <c r="S161" s="83"/>
      <c r="T161" s="83"/>
      <c r="U161" s="83"/>
      <c r="V161" s="83"/>
      <c r="W161" s="83"/>
      <c r="X161" s="167"/>
      <c r="Y161" s="168"/>
      <c r="Z161" s="168"/>
      <c r="AA161" s="168"/>
      <c r="AB161" s="168"/>
      <c r="AC161" s="168"/>
      <c r="AD161" s="168"/>
      <c r="AE161" s="168"/>
    </row>
    <row r="162" spans="1:256" s="141" customFormat="1" ht="30" x14ac:dyDescent="0.25">
      <c r="A162" s="138">
        <v>16.12</v>
      </c>
      <c r="B162" s="165" t="s">
        <v>407</v>
      </c>
      <c r="C162" s="110">
        <v>4030000</v>
      </c>
      <c r="D162" s="195" t="s">
        <v>129</v>
      </c>
      <c r="E162" s="195"/>
      <c r="F162" s="11">
        <v>233</v>
      </c>
      <c r="G162" s="11" t="s">
        <v>454</v>
      </c>
      <c r="H162" s="129">
        <v>36.979999999999997</v>
      </c>
      <c r="I162" s="151">
        <v>98241501</v>
      </c>
      <c r="J162" s="24" t="s">
        <v>456</v>
      </c>
      <c r="K162" s="55">
        <v>93501.52</v>
      </c>
      <c r="L162" s="55"/>
      <c r="M162" s="55"/>
      <c r="N162" s="80" t="s">
        <v>448</v>
      </c>
      <c r="O162" s="55"/>
      <c r="P162" s="83">
        <v>12</v>
      </c>
      <c r="Q162" s="83">
        <v>93501.52</v>
      </c>
      <c r="R162" s="83"/>
      <c r="S162" s="83"/>
      <c r="T162" s="83"/>
      <c r="U162" s="83"/>
      <c r="V162" s="83"/>
      <c r="W162" s="83"/>
      <c r="X162" s="167"/>
      <c r="Y162" s="168"/>
      <c r="Z162" s="168"/>
      <c r="AA162" s="168"/>
      <c r="AB162" s="168"/>
      <c r="AC162" s="168"/>
      <c r="AD162" s="168"/>
      <c r="AE162" s="168"/>
    </row>
    <row r="163" spans="1:256" s="141" customFormat="1" ht="30" x14ac:dyDescent="0.25">
      <c r="A163" s="138">
        <v>16.13</v>
      </c>
      <c r="B163" s="165" t="s">
        <v>407</v>
      </c>
      <c r="C163" s="110">
        <v>4030000</v>
      </c>
      <c r="D163" s="195" t="s">
        <v>130</v>
      </c>
      <c r="E163" s="195"/>
      <c r="F163" s="11">
        <v>233</v>
      </c>
      <c r="G163" s="11" t="s">
        <v>454</v>
      </c>
      <c r="H163" s="129">
        <v>7.79</v>
      </c>
      <c r="I163" s="152">
        <v>98242</v>
      </c>
      <c r="J163" s="174" t="s">
        <v>446</v>
      </c>
      <c r="K163" s="55">
        <v>41323.210999999996</v>
      </c>
      <c r="L163" s="55"/>
      <c r="M163" s="55"/>
      <c r="N163" s="80" t="s">
        <v>448</v>
      </c>
      <c r="O163" s="55"/>
      <c r="P163" s="83">
        <v>12</v>
      </c>
      <c r="Q163" s="83">
        <v>41323.210999999996</v>
      </c>
      <c r="R163" s="83"/>
      <c r="S163" s="83"/>
      <c r="T163" s="83"/>
      <c r="U163" s="83"/>
      <c r="V163" s="83"/>
      <c r="W163" s="83"/>
      <c r="X163" s="167"/>
      <c r="Y163" s="168"/>
      <c r="Z163" s="168"/>
      <c r="AA163" s="168"/>
      <c r="AB163" s="168"/>
      <c r="AC163" s="168"/>
      <c r="AD163" s="168"/>
      <c r="AE163" s="168"/>
    </row>
    <row r="164" spans="1:256" s="141" customFormat="1" ht="30" x14ac:dyDescent="0.25">
      <c r="A164" s="138">
        <v>16.14</v>
      </c>
      <c r="B164" s="165" t="s">
        <v>407</v>
      </c>
      <c r="C164" s="110">
        <v>4030000</v>
      </c>
      <c r="D164" s="195" t="s">
        <v>131</v>
      </c>
      <c r="E164" s="195"/>
      <c r="F164" s="11">
        <v>233</v>
      </c>
      <c r="G164" s="11" t="s">
        <v>454</v>
      </c>
      <c r="H164" s="129">
        <v>79.739999999999995</v>
      </c>
      <c r="I164" s="151">
        <v>98248</v>
      </c>
      <c r="J164" s="83" t="s">
        <v>444</v>
      </c>
      <c r="K164" s="55">
        <v>266475.21000000002</v>
      </c>
      <c r="L164" s="55"/>
      <c r="M164" s="55"/>
      <c r="N164" s="80" t="s">
        <v>448</v>
      </c>
      <c r="O164" s="55"/>
      <c r="P164" s="83">
        <v>12</v>
      </c>
      <c r="Q164" s="83">
        <v>266475.21000000002</v>
      </c>
      <c r="R164" s="83"/>
      <c r="S164" s="83"/>
      <c r="T164" s="83"/>
      <c r="U164" s="83"/>
      <c r="V164" s="83"/>
      <c r="W164" s="83"/>
      <c r="X164" s="167"/>
      <c r="Y164" s="168"/>
      <c r="Z164" s="168"/>
      <c r="AA164" s="168"/>
      <c r="AB164" s="168"/>
      <c r="AC164" s="168"/>
      <c r="AD164" s="168"/>
      <c r="AE164" s="168"/>
    </row>
    <row r="165" spans="1:256" s="141" customFormat="1" ht="30" x14ac:dyDescent="0.25">
      <c r="A165" s="138">
        <v>16.149999999999999</v>
      </c>
      <c r="B165" s="165" t="s">
        <v>407</v>
      </c>
      <c r="C165" s="110">
        <v>4030000</v>
      </c>
      <c r="D165" s="195" t="s">
        <v>132</v>
      </c>
      <c r="E165" s="195"/>
      <c r="F165" s="11">
        <v>233</v>
      </c>
      <c r="G165" s="11" t="s">
        <v>454</v>
      </c>
      <c r="H165" s="129">
        <v>60.66</v>
      </c>
      <c r="I165" s="151">
        <v>98204</v>
      </c>
      <c r="J165" s="83" t="s">
        <v>431</v>
      </c>
      <c r="K165" s="55">
        <v>192933.54</v>
      </c>
      <c r="L165" s="55"/>
      <c r="M165" s="55"/>
      <c r="N165" s="80" t="s">
        <v>448</v>
      </c>
      <c r="O165" s="55"/>
      <c r="P165" s="83">
        <v>12</v>
      </c>
      <c r="Q165" s="83">
        <v>192933.54</v>
      </c>
      <c r="R165" s="83"/>
      <c r="S165" s="83"/>
      <c r="T165" s="83"/>
      <c r="U165" s="83"/>
      <c r="V165" s="83"/>
      <c r="W165" s="83"/>
      <c r="X165" s="167"/>
      <c r="Y165" s="168"/>
      <c r="Z165" s="168"/>
      <c r="AA165" s="168"/>
      <c r="AB165" s="168"/>
      <c r="AC165" s="168"/>
      <c r="AD165" s="168"/>
      <c r="AE165" s="168"/>
    </row>
    <row r="166" spans="1:256" s="141" customFormat="1" ht="30" x14ac:dyDescent="0.25">
      <c r="A166" s="138">
        <v>16.16</v>
      </c>
      <c r="B166" s="165" t="s">
        <v>407</v>
      </c>
      <c r="C166" s="110">
        <v>4030000</v>
      </c>
      <c r="D166" s="195" t="s">
        <v>124</v>
      </c>
      <c r="E166" s="195"/>
      <c r="F166" s="11">
        <v>233</v>
      </c>
      <c r="G166" s="11" t="s">
        <v>454</v>
      </c>
      <c r="H166" s="129">
        <v>14.3</v>
      </c>
      <c r="I166" s="151">
        <v>98231509</v>
      </c>
      <c r="J166" s="174" t="s">
        <v>443</v>
      </c>
      <c r="K166" s="55">
        <v>89362.02</v>
      </c>
      <c r="L166" s="55"/>
      <c r="M166" s="55"/>
      <c r="N166" s="80" t="s">
        <v>448</v>
      </c>
      <c r="O166" s="55"/>
      <c r="P166" s="83">
        <v>12</v>
      </c>
      <c r="Q166" s="83">
        <v>89362.02</v>
      </c>
      <c r="R166" s="83"/>
      <c r="S166" s="83"/>
      <c r="T166" s="83"/>
      <c r="U166" s="83"/>
      <c r="V166" s="83"/>
      <c r="W166" s="83"/>
      <c r="X166" s="167"/>
      <c r="Y166" s="168"/>
      <c r="Z166" s="168"/>
      <c r="AA166" s="168"/>
      <c r="AB166" s="168"/>
      <c r="AC166" s="168"/>
      <c r="AD166" s="168"/>
      <c r="AE166" s="168"/>
    </row>
    <row r="167" spans="1:256" s="141" customFormat="1" ht="30" x14ac:dyDescent="0.25">
      <c r="A167" s="138">
        <v>16.170000000000002</v>
      </c>
      <c r="B167" s="165" t="s">
        <v>407</v>
      </c>
      <c r="C167" s="110">
        <v>4030000</v>
      </c>
      <c r="D167" s="195" t="s">
        <v>125</v>
      </c>
      <c r="E167" s="195"/>
      <c r="F167" s="11">
        <v>233</v>
      </c>
      <c r="G167" s="11" t="s">
        <v>454</v>
      </c>
      <c r="H167" s="129">
        <v>100.883</v>
      </c>
      <c r="I167" s="151">
        <v>98254551</v>
      </c>
      <c r="J167" s="24" t="s">
        <v>442</v>
      </c>
      <c r="K167" s="55">
        <v>221945.46839999998</v>
      </c>
      <c r="L167" s="55"/>
      <c r="M167" s="55"/>
      <c r="N167" s="80" t="s">
        <v>448</v>
      </c>
      <c r="O167" s="55"/>
      <c r="P167" s="83">
        <v>12</v>
      </c>
      <c r="Q167" s="83">
        <v>221945.46839999998</v>
      </c>
      <c r="R167" s="83"/>
      <c r="S167" s="83"/>
      <c r="T167" s="83"/>
      <c r="U167" s="83"/>
      <c r="V167" s="83"/>
      <c r="W167" s="83"/>
      <c r="X167" s="167"/>
      <c r="Y167" s="168"/>
      <c r="Z167" s="168"/>
      <c r="AA167" s="168"/>
      <c r="AB167" s="168"/>
      <c r="AC167" s="168"/>
      <c r="AD167" s="168"/>
      <c r="AE167" s="168"/>
    </row>
    <row r="168" spans="1:256" s="141" customFormat="1" ht="45" x14ac:dyDescent="0.25">
      <c r="A168" s="138">
        <v>16.18</v>
      </c>
      <c r="B168" s="165" t="s">
        <v>407</v>
      </c>
      <c r="C168" s="110">
        <v>4030000</v>
      </c>
      <c r="D168" s="195" t="s">
        <v>133</v>
      </c>
      <c r="E168" s="195"/>
      <c r="F168" s="11">
        <v>233</v>
      </c>
      <c r="G168" s="11" t="s">
        <v>454</v>
      </c>
      <c r="H168" s="129">
        <v>99.9</v>
      </c>
      <c r="I168" s="151">
        <v>98258</v>
      </c>
      <c r="J168" s="83" t="s">
        <v>435</v>
      </c>
      <c r="K168" s="55">
        <v>345675.21</v>
      </c>
      <c r="L168" s="55"/>
      <c r="M168" s="55"/>
      <c r="N168" s="80" t="s">
        <v>448</v>
      </c>
      <c r="O168" s="55"/>
      <c r="P168" s="83">
        <v>12</v>
      </c>
      <c r="Q168" s="83">
        <v>345675.21</v>
      </c>
      <c r="R168" s="83"/>
      <c r="S168" s="83"/>
      <c r="T168" s="83"/>
      <c r="U168" s="83"/>
      <c r="V168" s="83"/>
      <c r="W168" s="83"/>
      <c r="X168" s="167"/>
      <c r="Y168" s="168"/>
      <c r="Z168" s="168"/>
      <c r="AA168" s="168"/>
      <c r="AB168" s="168"/>
      <c r="AC168" s="168"/>
      <c r="AD168" s="168"/>
      <c r="AE168" s="168"/>
    </row>
    <row r="169" spans="1:256" s="141" customFormat="1" ht="30" x14ac:dyDescent="0.25">
      <c r="A169" s="138">
        <v>16.190000000000001</v>
      </c>
      <c r="B169" s="165" t="s">
        <v>407</v>
      </c>
      <c r="C169" s="110">
        <v>4020000</v>
      </c>
      <c r="D169" s="195" t="s">
        <v>126</v>
      </c>
      <c r="E169" s="195"/>
      <c r="F169" s="11">
        <v>114</v>
      </c>
      <c r="G169" s="11" t="s">
        <v>455</v>
      </c>
      <c r="H169" s="129">
        <v>175</v>
      </c>
      <c r="I169" s="151">
        <v>98401</v>
      </c>
      <c r="J169" s="174" t="s">
        <v>429</v>
      </c>
      <c r="K169" s="55">
        <v>547814.87562185014</v>
      </c>
      <c r="L169" s="55"/>
      <c r="M169" s="55"/>
      <c r="N169" s="80" t="s">
        <v>448</v>
      </c>
      <c r="O169" s="55"/>
      <c r="P169" s="83">
        <v>12</v>
      </c>
      <c r="Q169" s="83">
        <v>547814.87562185014</v>
      </c>
      <c r="R169" s="83"/>
      <c r="S169" s="83"/>
      <c r="T169" s="83"/>
      <c r="U169" s="83"/>
      <c r="V169" s="83"/>
      <c r="W169" s="83"/>
      <c r="X169" s="167"/>
      <c r="Y169" s="168"/>
      <c r="Z169" s="168"/>
      <c r="AA169" s="168"/>
      <c r="AB169" s="168"/>
      <c r="AC169" s="168"/>
      <c r="AD169" s="168"/>
      <c r="AE169" s="168"/>
    </row>
    <row r="170" spans="1:256" s="164" customFormat="1" ht="28.5" x14ac:dyDescent="0.2">
      <c r="A170" s="140">
        <v>17</v>
      </c>
      <c r="B170" s="156"/>
      <c r="C170" s="157"/>
      <c r="D170" s="158" t="s">
        <v>134</v>
      </c>
      <c r="E170" s="158"/>
      <c r="F170" s="159"/>
      <c r="G170" s="160"/>
      <c r="H170" s="160"/>
      <c r="I170" s="161"/>
      <c r="J170" s="162"/>
      <c r="K170" s="162"/>
      <c r="L170" s="162"/>
      <c r="M170" s="162"/>
      <c r="N170" s="162" t="s">
        <v>448</v>
      </c>
      <c r="O170" s="162"/>
      <c r="P170" s="162"/>
      <c r="Q170" s="162"/>
      <c r="R170" s="162"/>
      <c r="S170" s="162"/>
      <c r="T170" s="162"/>
      <c r="U170" s="162"/>
      <c r="V170" s="162"/>
      <c r="W170" s="162"/>
      <c r="X170" s="163"/>
      <c r="Y170" s="140"/>
      <c r="Z170" s="156"/>
      <c r="AA170" s="157"/>
      <c r="AB170" s="158"/>
      <c r="AC170" s="158"/>
      <c r="AD170" s="159"/>
      <c r="AE170" s="160"/>
      <c r="AF170" s="160"/>
      <c r="AG170" s="162"/>
      <c r="AH170" s="162"/>
      <c r="AI170" s="162"/>
      <c r="AJ170" s="162"/>
      <c r="AK170" s="162"/>
      <c r="AL170" s="162"/>
      <c r="AM170" s="162"/>
      <c r="AN170" s="162"/>
      <c r="AO170" s="162"/>
      <c r="AP170" s="162"/>
      <c r="AQ170" s="162"/>
      <c r="AR170" s="162"/>
      <c r="AS170" s="162"/>
      <c r="AT170" s="162"/>
      <c r="AU170" s="162"/>
      <c r="AV170" s="163"/>
      <c r="AW170" s="140"/>
      <c r="AX170" s="156"/>
      <c r="AY170" s="157"/>
      <c r="AZ170" s="158"/>
      <c r="BA170" s="158"/>
      <c r="BB170" s="159"/>
      <c r="BC170" s="160"/>
      <c r="BD170" s="160"/>
      <c r="BE170" s="162"/>
      <c r="BF170" s="162"/>
      <c r="BG170" s="162"/>
      <c r="BH170" s="162"/>
      <c r="BI170" s="162"/>
      <c r="BJ170" s="162"/>
      <c r="BK170" s="162"/>
      <c r="BL170" s="162"/>
      <c r="BM170" s="162"/>
      <c r="BN170" s="162"/>
      <c r="BO170" s="162"/>
      <c r="BP170" s="162"/>
      <c r="BQ170" s="162"/>
      <c r="BR170" s="162"/>
      <c r="BS170" s="162"/>
      <c r="BT170" s="163"/>
      <c r="BU170" s="140"/>
      <c r="BV170" s="156"/>
      <c r="BW170" s="157"/>
      <c r="BX170" s="158"/>
      <c r="BY170" s="158"/>
      <c r="BZ170" s="159"/>
      <c r="CA170" s="160"/>
      <c r="CB170" s="160"/>
      <c r="CC170" s="162"/>
      <c r="CD170" s="162"/>
      <c r="CE170" s="162"/>
      <c r="CF170" s="162"/>
      <c r="CG170" s="162"/>
      <c r="CH170" s="162"/>
      <c r="CI170" s="162"/>
      <c r="CJ170" s="162"/>
      <c r="CK170" s="162"/>
      <c r="CL170" s="162"/>
      <c r="CM170" s="162"/>
      <c r="CN170" s="162"/>
      <c r="CO170" s="162"/>
      <c r="CP170" s="162"/>
      <c r="CQ170" s="162"/>
      <c r="CR170" s="163"/>
      <c r="CS170" s="140"/>
      <c r="CT170" s="156"/>
      <c r="CU170" s="157"/>
      <c r="CV170" s="158"/>
      <c r="CW170" s="158"/>
      <c r="CX170" s="159"/>
      <c r="CY170" s="160"/>
      <c r="CZ170" s="160"/>
      <c r="DA170" s="162"/>
      <c r="DB170" s="162"/>
      <c r="DC170" s="162"/>
      <c r="DD170" s="162"/>
      <c r="DE170" s="162"/>
      <c r="DF170" s="162"/>
      <c r="DG170" s="162"/>
      <c r="DH170" s="162"/>
      <c r="DI170" s="162"/>
      <c r="DJ170" s="162"/>
      <c r="DK170" s="162"/>
      <c r="DL170" s="162"/>
      <c r="DM170" s="162"/>
      <c r="DN170" s="162"/>
      <c r="DO170" s="162"/>
      <c r="DP170" s="163"/>
      <c r="DQ170" s="140"/>
      <c r="DR170" s="156"/>
      <c r="DS170" s="157"/>
      <c r="DT170" s="158"/>
      <c r="DU170" s="158"/>
      <c r="DV170" s="159"/>
      <c r="DW170" s="160"/>
      <c r="DX170" s="160"/>
      <c r="DY170" s="162"/>
      <c r="DZ170" s="162"/>
      <c r="EA170" s="162"/>
      <c r="EB170" s="162"/>
      <c r="EC170" s="162"/>
      <c r="ED170" s="162"/>
      <c r="EE170" s="162"/>
      <c r="EF170" s="162"/>
      <c r="EG170" s="162"/>
      <c r="EH170" s="162"/>
      <c r="EI170" s="162"/>
      <c r="EJ170" s="162"/>
      <c r="EK170" s="162"/>
      <c r="EL170" s="162"/>
      <c r="EM170" s="162"/>
      <c r="EN170" s="163"/>
      <c r="EO170" s="140"/>
      <c r="EP170" s="156"/>
      <c r="EQ170" s="157"/>
      <c r="ER170" s="158"/>
      <c r="ES170" s="158"/>
      <c r="ET170" s="159"/>
      <c r="EU170" s="160"/>
      <c r="EV170" s="160"/>
      <c r="EW170" s="162"/>
      <c r="EX170" s="162"/>
      <c r="EY170" s="162"/>
      <c r="EZ170" s="162"/>
      <c r="FA170" s="162"/>
      <c r="FB170" s="162"/>
      <c r="FC170" s="162"/>
      <c r="FD170" s="162"/>
      <c r="FE170" s="162"/>
      <c r="FF170" s="162"/>
      <c r="FG170" s="162"/>
      <c r="FH170" s="162"/>
      <c r="FI170" s="162"/>
      <c r="FJ170" s="162"/>
      <c r="FK170" s="162"/>
      <c r="FL170" s="163"/>
      <c r="FM170" s="140"/>
      <c r="FN170" s="156"/>
      <c r="FO170" s="157"/>
      <c r="FP170" s="158"/>
      <c r="FQ170" s="158"/>
      <c r="FR170" s="159"/>
      <c r="FS170" s="160"/>
      <c r="FT170" s="160"/>
      <c r="FU170" s="162"/>
      <c r="FV170" s="162"/>
      <c r="FW170" s="162"/>
      <c r="FX170" s="162"/>
      <c r="FY170" s="162"/>
      <c r="FZ170" s="162"/>
      <c r="GA170" s="162"/>
      <c r="GB170" s="162"/>
      <c r="GC170" s="162"/>
      <c r="GD170" s="162"/>
      <c r="GE170" s="162"/>
      <c r="GF170" s="162"/>
      <c r="GG170" s="162"/>
      <c r="GH170" s="162"/>
      <c r="GI170" s="162"/>
      <c r="GJ170" s="163"/>
      <c r="GK170" s="140"/>
      <c r="GL170" s="156"/>
      <c r="GM170" s="157"/>
      <c r="GN170" s="158"/>
      <c r="GO170" s="158"/>
      <c r="GP170" s="159"/>
      <c r="GQ170" s="160"/>
      <c r="GR170" s="160"/>
      <c r="GS170" s="162"/>
      <c r="GT170" s="162"/>
      <c r="GU170" s="162"/>
      <c r="GV170" s="162"/>
      <c r="GW170" s="162"/>
      <c r="GX170" s="162"/>
      <c r="GY170" s="162"/>
      <c r="GZ170" s="162"/>
      <c r="HA170" s="162"/>
      <c r="HB170" s="162"/>
      <c r="HC170" s="162"/>
      <c r="HD170" s="162"/>
      <c r="HE170" s="162"/>
      <c r="HF170" s="162"/>
      <c r="HG170" s="162"/>
      <c r="HH170" s="163"/>
      <c r="HI170" s="140"/>
      <c r="HJ170" s="156"/>
      <c r="HK170" s="157"/>
      <c r="HL170" s="158"/>
      <c r="HM170" s="158"/>
      <c r="HN170" s="159"/>
      <c r="HO170" s="160"/>
      <c r="HP170" s="160"/>
      <c r="HQ170" s="162"/>
      <c r="HR170" s="162"/>
      <c r="HS170" s="162"/>
      <c r="HT170" s="162"/>
      <c r="HU170" s="162"/>
      <c r="HV170" s="162"/>
      <c r="HW170" s="162"/>
      <c r="HX170" s="162"/>
      <c r="HY170" s="162"/>
      <c r="HZ170" s="162"/>
      <c r="IA170" s="162"/>
      <c r="IB170" s="162"/>
      <c r="IC170" s="162"/>
      <c r="ID170" s="162"/>
      <c r="IE170" s="162"/>
      <c r="IF170" s="163"/>
      <c r="IG170" s="140"/>
      <c r="IH170" s="156"/>
      <c r="II170" s="157"/>
      <c r="IJ170" s="158"/>
      <c r="IK170" s="158"/>
      <c r="IL170" s="159"/>
      <c r="IM170" s="160"/>
      <c r="IN170" s="160"/>
      <c r="IO170" s="162"/>
      <c r="IP170" s="162"/>
      <c r="IQ170" s="162"/>
      <c r="IR170" s="162"/>
      <c r="IS170" s="162"/>
      <c r="IT170" s="162"/>
      <c r="IU170" s="162"/>
      <c r="IV170" s="162"/>
    </row>
    <row r="171" spans="1:256" s="141" customFormat="1" ht="30" x14ac:dyDescent="0.25">
      <c r="A171" s="138">
        <v>17.100000000000001</v>
      </c>
      <c r="B171" s="165" t="s">
        <v>414</v>
      </c>
      <c r="C171" s="110">
        <v>7020020</v>
      </c>
      <c r="D171" s="43" t="s">
        <v>114</v>
      </c>
      <c r="E171" s="43"/>
      <c r="F171" s="11">
        <v>362</v>
      </c>
      <c r="G171" s="81" t="s">
        <v>22</v>
      </c>
      <c r="H171" s="129">
        <v>12</v>
      </c>
      <c r="I171" s="151">
        <v>98231552</v>
      </c>
      <c r="J171" s="174" t="s">
        <v>432</v>
      </c>
      <c r="K171" s="55">
        <v>14913.15</v>
      </c>
      <c r="L171" s="55"/>
      <c r="M171" s="55"/>
      <c r="N171" s="80" t="s">
        <v>448</v>
      </c>
      <c r="O171" s="55"/>
      <c r="P171" s="83">
        <v>12</v>
      </c>
      <c r="Q171" s="83">
        <v>14913.15</v>
      </c>
      <c r="R171" s="83"/>
      <c r="S171" s="83"/>
      <c r="T171" s="83"/>
      <c r="U171" s="83"/>
      <c r="V171" s="83"/>
      <c r="W171" s="83"/>
      <c r="X171" s="167"/>
      <c r="Y171" s="168"/>
      <c r="Z171" s="168"/>
      <c r="AA171" s="168"/>
      <c r="AB171" s="168"/>
      <c r="AC171" s="168"/>
      <c r="AD171" s="168"/>
      <c r="AE171" s="168"/>
    </row>
    <row r="172" spans="1:256" s="141" customFormat="1" ht="30" x14ac:dyDescent="0.25">
      <c r="A172" s="138">
        <v>17.2</v>
      </c>
      <c r="B172" s="165" t="s">
        <v>414</v>
      </c>
      <c r="C172" s="110">
        <v>7020020</v>
      </c>
      <c r="D172" s="195" t="s">
        <v>128</v>
      </c>
      <c r="E172" s="195"/>
      <c r="F172" s="11">
        <v>362</v>
      </c>
      <c r="G172" s="81" t="s">
        <v>22</v>
      </c>
      <c r="H172" s="129">
        <v>12</v>
      </c>
      <c r="I172" s="151">
        <v>98218501</v>
      </c>
      <c r="J172" s="174" t="s">
        <v>434</v>
      </c>
      <c r="K172" s="55">
        <v>36643.199999999997</v>
      </c>
      <c r="L172" s="55"/>
      <c r="M172" s="55"/>
      <c r="N172" s="80" t="s">
        <v>448</v>
      </c>
      <c r="O172" s="55"/>
      <c r="P172" s="83">
        <v>12</v>
      </c>
      <c r="Q172" s="83">
        <v>36643.199999999997</v>
      </c>
      <c r="R172" s="83"/>
      <c r="S172" s="83"/>
      <c r="T172" s="83"/>
      <c r="U172" s="83"/>
      <c r="V172" s="83"/>
      <c r="W172" s="83"/>
      <c r="X172" s="167"/>
      <c r="Y172" s="168"/>
      <c r="Z172" s="168"/>
      <c r="AA172" s="168"/>
      <c r="AB172" s="168"/>
      <c r="AC172" s="168"/>
      <c r="AD172" s="168"/>
      <c r="AE172" s="168"/>
    </row>
    <row r="173" spans="1:256" s="141" customFormat="1" ht="30" x14ac:dyDescent="0.25">
      <c r="A173" s="138">
        <v>17.3</v>
      </c>
      <c r="B173" s="165" t="s">
        <v>414</v>
      </c>
      <c r="C173" s="110">
        <v>7020020</v>
      </c>
      <c r="D173" s="195" t="s">
        <v>120</v>
      </c>
      <c r="E173" s="195"/>
      <c r="F173" s="11">
        <v>362</v>
      </c>
      <c r="G173" s="81" t="s">
        <v>22</v>
      </c>
      <c r="H173" s="129">
        <v>12</v>
      </c>
      <c r="I173" s="151">
        <v>98229</v>
      </c>
      <c r="J173" s="174" t="s">
        <v>439</v>
      </c>
      <c r="K173" s="55">
        <v>5094.6720000000005</v>
      </c>
      <c r="L173" s="55"/>
      <c r="M173" s="55"/>
      <c r="N173" s="80" t="s">
        <v>448</v>
      </c>
      <c r="O173" s="55"/>
      <c r="P173" s="83">
        <v>12</v>
      </c>
      <c r="Q173" s="83">
        <v>5094.6720000000005</v>
      </c>
      <c r="R173" s="83"/>
      <c r="S173" s="83"/>
      <c r="T173" s="83"/>
      <c r="U173" s="83"/>
      <c r="V173" s="83"/>
      <c r="W173" s="83"/>
      <c r="X173" s="167"/>
      <c r="Y173" s="168"/>
      <c r="Z173" s="168"/>
      <c r="AA173" s="168"/>
      <c r="AB173" s="168"/>
      <c r="AC173" s="168"/>
      <c r="AD173" s="168"/>
      <c r="AE173" s="168"/>
    </row>
    <row r="174" spans="1:256" s="141" customFormat="1" ht="30" x14ac:dyDescent="0.25">
      <c r="A174" s="138">
        <v>17.5</v>
      </c>
      <c r="B174" s="165" t="s">
        <v>414</v>
      </c>
      <c r="C174" s="110">
        <v>7020020</v>
      </c>
      <c r="D174" s="195" t="s">
        <v>121</v>
      </c>
      <c r="E174" s="195"/>
      <c r="F174" s="11">
        <v>362</v>
      </c>
      <c r="G174" s="81" t="s">
        <v>22</v>
      </c>
      <c r="H174" s="129">
        <v>12</v>
      </c>
      <c r="I174" s="151">
        <v>98404</v>
      </c>
      <c r="J174" s="174" t="s">
        <v>440</v>
      </c>
      <c r="K174" s="55">
        <v>164738.08319999999</v>
      </c>
      <c r="L174" s="55"/>
      <c r="M174" s="55"/>
      <c r="N174" s="80" t="s">
        <v>448</v>
      </c>
      <c r="O174" s="55"/>
      <c r="P174" s="83">
        <v>12</v>
      </c>
      <c r="Q174" s="83">
        <v>164738.08319999999</v>
      </c>
      <c r="R174" s="83"/>
      <c r="S174" s="83"/>
      <c r="T174" s="83"/>
      <c r="U174" s="83"/>
      <c r="V174" s="83"/>
      <c r="W174" s="83"/>
      <c r="X174" s="167"/>
      <c r="Y174" s="168"/>
      <c r="Z174" s="168"/>
      <c r="AA174" s="168"/>
      <c r="AB174" s="168"/>
      <c r="AC174" s="168"/>
      <c r="AD174" s="168"/>
      <c r="AE174" s="168"/>
    </row>
    <row r="175" spans="1:256" s="141" customFormat="1" ht="30" x14ac:dyDescent="0.25">
      <c r="A175" s="138">
        <v>17.600000000000001</v>
      </c>
      <c r="B175" s="165" t="s">
        <v>414</v>
      </c>
      <c r="C175" s="110">
        <v>7020020</v>
      </c>
      <c r="D175" s="195" t="s">
        <v>122</v>
      </c>
      <c r="E175" s="195"/>
      <c r="F175" s="11">
        <v>362</v>
      </c>
      <c r="G175" s="81" t="s">
        <v>22</v>
      </c>
      <c r="H175" s="129">
        <v>12</v>
      </c>
      <c r="I175" s="151">
        <v>98406</v>
      </c>
      <c r="J175" s="174" t="s">
        <v>441</v>
      </c>
      <c r="K175" s="55">
        <v>59619.01</v>
      </c>
      <c r="L175" s="55"/>
      <c r="M175" s="55"/>
      <c r="N175" s="80" t="s">
        <v>448</v>
      </c>
      <c r="O175" s="55"/>
      <c r="P175" s="83">
        <v>12</v>
      </c>
      <c r="Q175" s="83">
        <v>59619.01</v>
      </c>
      <c r="R175" s="83"/>
      <c r="S175" s="83"/>
      <c r="T175" s="83"/>
      <c r="U175" s="83"/>
      <c r="V175" s="83"/>
      <c r="W175" s="83"/>
      <c r="X175" s="167"/>
      <c r="Y175" s="168"/>
      <c r="Z175" s="168"/>
      <c r="AA175" s="168"/>
      <c r="AB175" s="168"/>
      <c r="AC175" s="168"/>
      <c r="AD175" s="168"/>
      <c r="AE175" s="168"/>
    </row>
    <row r="176" spans="1:256" s="141" customFormat="1" ht="30" x14ac:dyDescent="0.25">
      <c r="A176" s="138">
        <v>17.7</v>
      </c>
      <c r="B176" s="165" t="s">
        <v>414</v>
      </c>
      <c r="C176" s="110">
        <v>7020020</v>
      </c>
      <c r="D176" s="195" t="s">
        <v>123</v>
      </c>
      <c r="E176" s="195"/>
      <c r="F176" s="11">
        <v>362</v>
      </c>
      <c r="G176" s="81" t="s">
        <v>22</v>
      </c>
      <c r="H176" s="129">
        <v>12</v>
      </c>
      <c r="I176" s="151">
        <v>98237551</v>
      </c>
      <c r="J176" s="174" t="s">
        <v>445</v>
      </c>
      <c r="K176" s="55">
        <v>42.511099999999999</v>
      </c>
      <c r="L176" s="55"/>
      <c r="M176" s="55"/>
      <c r="N176" s="80" t="s">
        <v>448</v>
      </c>
      <c r="O176" s="55"/>
      <c r="P176" s="83">
        <v>12</v>
      </c>
      <c r="Q176" s="83">
        <v>42.511099999999999</v>
      </c>
      <c r="R176" s="83"/>
      <c r="S176" s="83"/>
      <c r="T176" s="83"/>
      <c r="U176" s="83"/>
      <c r="V176" s="83"/>
      <c r="W176" s="83"/>
      <c r="X176" s="167"/>
      <c r="Y176" s="168"/>
      <c r="Z176" s="168"/>
      <c r="AA176" s="168"/>
      <c r="AB176" s="168"/>
      <c r="AC176" s="168"/>
      <c r="AD176" s="168"/>
      <c r="AE176" s="168"/>
    </row>
    <row r="177" spans="1:256" s="141" customFormat="1" ht="30" x14ac:dyDescent="0.25">
      <c r="A177" s="138">
        <v>17.8</v>
      </c>
      <c r="B177" s="165" t="s">
        <v>414</v>
      </c>
      <c r="C177" s="110">
        <v>7020020</v>
      </c>
      <c r="D177" s="195" t="s">
        <v>124</v>
      </c>
      <c r="E177" s="195"/>
      <c r="F177" s="11">
        <v>362</v>
      </c>
      <c r="G177" s="81" t="s">
        <v>22</v>
      </c>
      <c r="H177" s="129">
        <v>12</v>
      </c>
      <c r="I177" s="151">
        <v>98231509</v>
      </c>
      <c r="J177" s="174" t="s">
        <v>443</v>
      </c>
      <c r="K177" s="55">
        <v>27688.188000000002</v>
      </c>
      <c r="L177" s="55"/>
      <c r="M177" s="55"/>
      <c r="N177" s="80" t="s">
        <v>448</v>
      </c>
      <c r="O177" s="55"/>
      <c r="P177" s="83">
        <v>12</v>
      </c>
      <c r="Q177" s="83">
        <v>27688.188000000002</v>
      </c>
      <c r="R177" s="83"/>
      <c r="S177" s="83"/>
      <c r="T177" s="83"/>
      <c r="U177" s="83"/>
      <c r="V177" s="83"/>
      <c r="W177" s="83"/>
      <c r="X177" s="167"/>
      <c r="Y177" s="168"/>
      <c r="Z177" s="168"/>
      <c r="AA177" s="168"/>
      <c r="AB177" s="168"/>
      <c r="AC177" s="168"/>
      <c r="AD177" s="168"/>
      <c r="AE177" s="168"/>
    </row>
    <row r="178" spans="1:256" s="141" customFormat="1" ht="30" x14ac:dyDescent="0.25">
      <c r="A178" s="138">
        <v>17.899999999999999</v>
      </c>
      <c r="B178" s="165" t="s">
        <v>414</v>
      </c>
      <c r="C178" s="110">
        <v>7020020</v>
      </c>
      <c r="D178" s="195" t="s">
        <v>126</v>
      </c>
      <c r="E178" s="195"/>
      <c r="F178" s="11">
        <v>362</v>
      </c>
      <c r="G178" s="81" t="s">
        <v>22</v>
      </c>
      <c r="H178" s="129">
        <v>12</v>
      </c>
      <c r="I178" s="151">
        <v>98401</v>
      </c>
      <c r="J178" s="174" t="s">
        <v>429</v>
      </c>
      <c r="K178" s="55">
        <v>3426406</v>
      </c>
      <c r="L178" s="55"/>
      <c r="M178" s="55"/>
      <c r="N178" s="80" t="s">
        <v>448</v>
      </c>
      <c r="O178" s="55"/>
      <c r="P178" s="83">
        <v>12</v>
      </c>
      <c r="Q178" s="83">
        <v>1876406</v>
      </c>
      <c r="R178" s="83"/>
      <c r="S178" s="83"/>
      <c r="T178" s="83"/>
      <c r="U178" s="83"/>
      <c r="V178" s="83">
        <v>12</v>
      </c>
      <c r="W178" s="83">
        <v>1550000</v>
      </c>
      <c r="X178" s="167"/>
      <c r="Y178" s="168"/>
      <c r="Z178" s="168"/>
      <c r="AA178" s="168"/>
      <c r="AB178" s="168"/>
      <c r="AC178" s="168"/>
      <c r="AD178" s="168"/>
      <c r="AE178" s="168"/>
    </row>
    <row r="179" spans="1:256" s="164" customFormat="1" ht="14.25" x14ac:dyDescent="0.2">
      <c r="A179" s="140">
        <v>18</v>
      </c>
      <c r="B179" s="156"/>
      <c r="C179" s="157"/>
      <c r="D179" s="158" t="s">
        <v>135</v>
      </c>
      <c r="E179" s="158"/>
      <c r="F179" s="159"/>
      <c r="G179" s="160"/>
      <c r="H179" s="160"/>
      <c r="I179" s="161"/>
      <c r="J179" s="162"/>
      <c r="K179" s="162"/>
      <c r="L179" s="162"/>
      <c r="M179" s="162"/>
      <c r="N179" s="162"/>
      <c r="O179" s="162"/>
      <c r="P179" s="162"/>
      <c r="Q179" s="162"/>
      <c r="R179" s="162"/>
      <c r="S179" s="162"/>
      <c r="T179" s="162"/>
      <c r="U179" s="162"/>
      <c r="V179" s="162"/>
      <c r="W179" s="162"/>
      <c r="X179" s="163"/>
      <c r="Y179" s="140"/>
      <c r="Z179" s="156"/>
      <c r="AA179" s="157"/>
      <c r="AB179" s="158"/>
      <c r="AC179" s="158"/>
      <c r="AD179" s="159"/>
      <c r="AE179" s="160"/>
      <c r="AF179" s="160"/>
      <c r="AG179" s="162"/>
      <c r="AH179" s="162"/>
      <c r="AI179" s="162"/>
      <c r="AJ179" s="162"/>
      <c r="AK179" s="162"/>
      <c r="AL179" s="162"/>
      <c r="AM179" s="162"/>
      <c r="AN179" s="162"/>
      <c r="AO179" s="162"/>
      <c r="AP179" s="162"/>
      <c r="AQ179" s="162"/>
      <c r="AR179" s="162"/>
      <c r="AS179" s="162"/>
      <c r="AT179" s="162"/>
      <c r="AU179" s="162"/>
      <c r="AV179" s="163"/>
      <c r="AW179" s="140"/>
      <c r="AX179" s="156"/>
      <c r="AY179" s="157"/>
      <c r="AZ179" s="158"/>
      <c r="BA179" s="158"/>
      <c r="BB179" s="159"/>
      <c r="BC179" s="160"/>
      <c r="BD179" s="160"/>
      <c r="BE179" s="162"/>
      <c r="BF179" s="162"/>
      <c r="BG179" s="162"/>
      <c r="BH179" s="162"/>
      <c r="BI179" s="162"/>
      <c r="BJ179" s="162"/>
      <c r="BK179" s="162"/>
      <c r="BL179" s="162"/>
      <c r="BM179" s="162"/>
      <c r="BN179" s="162"/>
      <c r="BO179" s="162"/>
      <c r="BP179" s="162"/>
      <c r="BQ179" s="162"/>
      <c r="BR179" s="162"/>
      <c r="BS179" s="162"/>
      <c r="BT179" s="163"/>
      <c r="BU179" s="140"/>
      <c r="BV179" s="156"/>
      <c r="BW179" s="157"/>
      <c r="BX179" s="158"/>
      <c r="BY179" s="158"/>
      <c r="BZ179" s="159"/>
      <c r="CA179" s="160"/>
      <c r="CB179" s="160"/>
      <c r="CC179" s="162"/>
      <c r="CD179" s="162"/>
      <c r="CE179" s="162"/>
      <c r="CF179" s="162"/>
      <c r="CG179" s="162"/>
      <c r="CH179" s="162"/>
      <c r="CI179" s="162"/>
      <c r="CJ179" s="162"/>
      <c r="CK179" s="162"/>
      <c r="CL179" s="162"/>
      <c r="CM179" s="162"/>
      <c r="CN179" s="162"/>
      <c r="CO179" s="162"/>
      <c r="CP179" s="162"/>
      <c r="CQ179" s="162"/>
      <c r="CR179" s="163"/>
      <c r="CS179" s="140"/>
      <c r="CT179" s="156"/>
      <c r="CU179" s="157"/>
      <c r="CV179" s="158"/>
      <c r="CW179" s="158"/>
      <c r="CX179" s="159"/>
      <c r="CY179" s="160"/>
      <c r="CZ179" s="160"/>
      <c r="DA179" s="162"/>
      <c r="DB179" s="162"/>
      <c r="DC179" s="162"/>
      <c r="DD179" s="162"/>
      <c r="DE179" s="162"/>
      <c r="DF179" s="162"/>
      <c r="DG179" s="162"/>
      <c r="DH179" s="162"/>
      <c r="DI179" s="162"/>
      <c r="DJ179" s="162"/>
      <c r="DK179" s="162"/>
      <c r="DL179" s="162"/>
      <c r="DM179" s="162"/>
      <c r="DN179" s="162"/>
      <c r="DO179" s="162"/>
      <c r="DP179" s="163"/>
      <c r="DQ179" s="140"/>
      <c r="DR179" s="156"/>
      <c r="DS179" s="157"/>
      <c r="DT179" s="158"/>
      <c r="DU179" s="158"/>
      <c r="DV179" s="159"/>
      <c r="DW179" s="160"/>
      <c r="DX179" s="160"/>
      <c r="DY179" s="162"/>
      <c r="DZ179" s="162"/>
      <c r="EA179" s="162"/>
      <c r="EB179" s="162"/>
      <c r="EC179" s="162"/>
      <c r="ED179" s="162"/>
      <c r="EE179" s="162"/>
      <c r="EF179" s="162"/>
      <c r="EG179" s="162"/>
      <c r="EH179" s="162"/>
      <c r="EI179" s="162"/>
      <c r="EJ179" s="162"/>
      <c r="EK179" s="162"/>
      <c r="EL179" s="162"/>
      <c r="EM179" s="162"/>
      <c r="EN179" s="163"/>
      <c r="EO179" s="140"/>
      <c r="EP179" s="156"/>
      <c r="EQ179" s="157"/>
      <c r="ER179" s="158"/>
      <c r="ES179" s="158"/>
      <c r="ET179" s="159"/>
      <c r="EU179" s="160"/>
      <c r="EV179" s="160"/>
      <c r="EW179" s="162"/>
      <c r="EX179" s="162"/>
      <c r="EY179" s="162"/>
      <c r="EZ179" s="162"/>
      <c r="FA179" s="162"/>
      <c r="FB179" s="162"/>
      <c r="FC179" s="162"/>
      <c r="FD179" s="162"/>
      <c r="FE179" s="162"/>
      <c r="FF179" s="162"/>
      <c r="FG179" s="162"/>
      <c r="FH179" s="162"/>
      <c r="FI179" s="162"/>
      <c r="FJ179" s="162"/>
      <c r="FK179" s="162"/>
      <c r="FL179" s="163"/>
      <c r="FM179" s="140"/>
      <c r="FN179" s="156"/>
      <c r="FO179" s="157"/>
      <c r="FP179" s="158"/>
      <c r="FQ179" s="158"/>
      <c r="FR179" s="159"/>
      <c r="FS179" s="160"/>
      <c r="FT179" s="160"/>
      <c r="FU179" s="162"/>
      <c r="FV179" s="162"/>
      <c r="FW179" s="162"/>
      <c r="FX179" s="162"/>
      <c r="FY179" s="162"/>
      <c r="FZ179" s="162"/>
      <c r="GA179" s="162"/>
      <c r="GB179" s="162"/>
      <c r="GC179" s="162"/>
      <c r="GD179" s="162"/>
      <c r="GE179" s="162"/>
      <c r="GF179" s="162"/>
      <c r="GG179" s="162"/>
      <c r="GH179" s="162"/>
      <c r="GI179" s="162"/>
      <c r="GJ179" s="163"/>
      <c r="GK179" s="140"/>
      <c r="GL179" s="156"/>
      <c r="GM179" s="157"/>
      <c r="GN179" s="158"/>
      <c r="GO179" s="158"/>
      <c r="GP179" s="159"/>
      <c r="GQ179" s="160"/>
      <c r="GR179" s="160"/>
      <c r="GS179" s="162"/>
      <c r="GT179" s="162"/>
      <c r="GU179" s="162"/>
      <c r="GV179" s="162"/>
      <c r="GW179" s="162"/>
      <c r="GX179" s="162"/>
      <c r="GY179" s="162"/>
      <c r="GZ179" s="162"/>
      <c r="HA179" s="162"/>
      <c r="HB179" s="162"/>
      <c r="HC179" s="162"/>
      <c r="HD179" s="162"/>
      <c r="HE179" s="162"/>
      <c r="HF179" s="162"/>
      <c r="HG179" s="162"/>
      <c r="HH179" s="163"/>
      <c r="HI179" s="140"/>
      <c r="HJ179" s="156"/>
      <c r="HK179" s="157"/>
      <c r="HL179" s="158"/>
      <c r="HM179" s="158"/>
      <c r="HN179" s="159"/>
      <c r="HO179" s="160"/>
      <c r="HP179" s="160"/>
      <c r="HQ179" s="162"/>
      <c r="HR179" s="162"/>
      <c r="HS179" s="162"/>
      <c r="HT179" s="162"/>
      <c r="HU179" s="162"/>
      <c r="HV179" s="162"/>
      <c r="HW179" s="162"/>
      <c r="HX179" s="162"/>
      <c r="HY179" s="162"/>
      <c r="HZ179" s="162"/>
      <c r="IA179" s="162"/>
      <c r="IB179" s="162"/>
      <c r="IC179" s="162"/>
      <c r="ID179" s="162"/>
      <c r="IE179" s="162"/>
      <c r="IF179" s="163"/>
      <c r="IG179" s="140"/>
      <c r="IH179" s="156"/>
      <c r="II179" s="157"/>
      <c r="IJ179" s="158"/>
      <c r="IK179" s="158"/>
      <c r="IL179" s="159"/>
      <c r="IM179" s="160"/>
      <c r="IN179" s="160"/>
      <c r="IO179" s="162"/>
      <c r="IP179" s="162"/>
      <c r="IQ179" s="162"/>
      <c r="IR179" s="162"/>
      <c r="IS179" s="162"/>
      <c r="IT179" s="162"/>
      <c r="IU179" s="162"/>
      <c r="IV179" s="162"/>
    </row>
    <row r="180" spans="1:256" s="141" customFormat="1" ht="30" x14ac:dyDescent="0.25">
      <c r="A180" s="138">
        <v>18.100000000000001</v>
      </c>
      <c r="B180" s="165" t="s">
        <v>409</v>
      </c>
      <c r="C180" s="110">
        <v>4010000</v>
      </c>
      <c r="D180" s="43" t="s">
        <v>114</v>
      </c>
      <c r="E180" s="43"/>
      <c r="F180" s="11">
        <v>245</v>
      </c>
      <c r="G180" s="81" t="s">
        <v>464</v>
      </c>
      <c r="H180" s="129">
        <v>12</v>
      </c>
      <c r="I180" s="151">
        <v>98231552</v>
      </c>
      <c r="J180" s="174" t="s">
        <v>432</v>
      </c>
      <c r="K180" s="55">
        <v>17006.515800000001</v>
      </c>
      <c r="L180" s="55"/>
      <c r="M180" s="55"/>
      <c r="N180" s="80" t="s">
        <v>448</v>
      </c>
      <c r="O180" s="55"/>
      <c r="P180" s="83">
        <v>12</v>
      </c>
      <c r="Q180" s="83">
        <v>17006.515800000001</v>
      </c>
      <c r="R180" s="83"/>
      <c r="S180" s="83"/>
      <c r="T180" s="83"/>
      <c r="U180" s="83"/>
      <c r="V180" s="83"/>
      <c r="W180" s="83"/>
      <c r="X180" s="167"/>
      <c r="Y180" s="168"/>
      <c r="Z180" s="168"/>
      <c r="AA180" s="168"/>
      <c r="AB180" s="168"/>
      <c r="AC180" s="168"/>
      <c r="AD180" s="168"/>
      <c r="AE180" s="168"/>
    </row>
    <row r="181" spans="1:256" s="141" customFormat="1" ht="30" x14ac:dyDescent="0.25">
      <c r="A181" s="138">
        <v>18.2</v>
      </c>
      <c r="B181" s="165" t="s">
        <v>409</v>
      </c>
      <c r="C181" s="110">
        <v>4010000</v>
      </c>
      <c r="D181" s="195" t="s">
        <v>115</v>
      </c>
      <c r="E181" s="195"/>
      <c r="F181" s="11">
        <v>245</v>
      </c>
      <c r="G181" s="81" t="s">
        <v>464</v>
      </c>
      <c r="H181" s="129">
        <v>12</v>
      </c>
      <c r="I181" s="151">
        <v>98201551</v>
      </c>
      <c r="J181" s="174" t="s">
        <v>433</v>
      </c>
      <c r="K181" s="55">
        <v>25250.832768</v>
      </c>
      <c r="L181" s="55"/>
      <c r="M181" s="55"/>
      <c r="N181" s="80" t="s">
        <v>448</v>
      </c>
      <c r="O181" s="55"/>
      <c r="P181" s="83">
        <v>12</v>
      </c>
      <c r="Q181" s="83">
        <v>25250.832768</v>
      </c>
      <c r="R181" s="83"/>
      <c r="S181" s="83"/>
      <c r="T181" s="83"/>
      <c r="U181" s="83"/>
      <c r="V181" s="83"/>
      <c r="W181" s="83"/>
      <c r="X181" s="167"/>
      <c r="Y181" s="168"/>
      <c r="Z181" s="168"/>
      <c r="AA181" s="168"/>
      <c r="AB181" s="168"/>
      <c r="AC181" s="168"/>
      <c r="AD181" s="168"/>
      <c r="AE181" s="168"/>
    </row>
    <row r="182" spans="1:256" s="141" customFormat="1" ht="30" x14ac:dyDescent="0.25">
      <c r="A182" s="138">
        <v>18.3</v>
      </c>
      <c r="B182" s="165" t="s">
        <v>409</v>
      </c>
      <c r="C182" s="110">
        <v>4010000</v>
      </c>
      <c r="D182" s="195" t="s">
        <v>128</v>
      </c>
      <c r="E182" s="195"/>
      <c r="F182" s="11">
        <v>245</v>
      </c>
      <c r="G182" s="81" t="s">
        <v>464</v>
      </c>
      <c r="H182" s="129">
        <v>12</v>
      </c>
      <c r="I182" s="151">
        <v>98218501</v>
      </c>
      <c r="J182" s="174" t="s">
        <v>434</v>
      </c>
      <c r="K182" s="55">
        <v>8302.7032553046629</v>
      </c>
      <c r="L182" s="55"/>
      <c r="M182" s="55"/>
      <c r="N182" s="80" t="s">
        <v>448</v>
      </c>
      <c r="O182" s="55"/>
      <c r="P182" s="83">
        <v>12</v>
      </c>
      <c r="Q182" s="83">
        <v>8302.7032553046629</v>
      </c>
      <c r="R182" s="83"/>
      <c r="S182" s="83"/>
      <c r="T182" s="83"/>
      <c r="U182" s="83"/>
      <c r="V182" s="83"/>
      <c r="W182" s="83"/>
      <c r="X182" s="167"/>
      <c r="Y182" s="168"/>
      <c r="Z182" s="168"/>
      <c r="AA182" s="168"/>
      <c r="AB182" s="168"/>
      <c r="AC182" s="168"/>
      <c r="AD182" s="168"/>
      <c r="AE182" s="168"/>
    </row>
    <row r="183" spans="1:256" s="141" customFormat="1" ht="30" x14ac:dyDescent="0.25">
      <c r="A183" s="138">
        <v>18.399999999999999</v>
      </c>
      <c r="B183" s="165" t="s">
        <v>409</v>
      </c>
      <c r="C183" s="110">
        <v>4010000</v>
      </c>
      <c r="D183" s="195" t="s">
        <v>118</v>
      </c>
      <c r="E183" s="195"/>
      <c r="F183" s="11">
        <v>245</v>
      </c>
      <c r="G183" s="81" t="s">
        <v>464</v>
      </c>
      <c r="H183" s="129">
        <v>12</v>
      </c>
      <c r="I183" s="151">
        <v>98224551</v>
      </c>
      <c r="J183" s="174" t="s">
        <v>436</v>
      </c>
      <c r="K183" s="55">
        <v>7995.8532000000005</v>
      </c>
      <c r="L183" s="55"/>
      <c r="M183" s="55"/>
      <c r="N183" s="80" t="s">
        <v>448</v>
      </c>
      <c r="O183" s="55"/>
      <c r="P183" s="83">
        <v>12</v>
      </c>
      <c r="Q183" s="83">
        <v>7995.8532000000005</v>
      </c>
      <c r="R183" s="83"/>
      <c r="S183" s="83"/>
      <c r="T183" s="83"/>
      <c r="U183" s="83"/>
      <c r="V183" s="83"/>
      <c r="W183" s="83"/>
      <c r="X183" s="167"/>
      <c r="Y183" s="168"/>
      <c r="Z183" s="168"/>
      <c r="AA183" s="168"/>
      <c r="AB183" s="168"/>
      <c r="AC183" s="168"/>
      <c r="AD183" s="168"/>
      <c r="AE183" s="168"/>
    </row>
    <row r="184" spans="1:256" s="141" customFormat="1" ht="30" x14ac:dyDescent="0.25">
      <c r="A184" s="138">
        <v>18.600000000000001</v>
      </c>
      <c r="B184" s="165" t="s">
        <v>409</v>
      </c>
      <c r="C184" s="110">
        <v>4010000</v>
      </c>
      <c r="D184" s="195" t="s">
        <v>119</v>
      </c>
      <c r="E184" s="195"/>
      <c r="F184" s="11">
        <v>245</v>
      </c>
      <c r="G184" s="81" t="s">
        <v>464</v>
      </c>
      <c r="H184" s="129">
        <v>12</v>
      </c>
      <c r="I184" s="151">
        <v>98227501</v>
      </c>
      <c r="J184" s="174" t="s">
        <v>430</v>
      </c>
      <c r="K184" s="55">
        <v>87251.662700000001</v>
      </c>
      <c r="L184" s="55"/>
      <c r="M184" s="55"/>
      <c r="N184" s="80" t="s">
        <v>448</v>
      </c>
      <c r="O184" s="55"/>
      <c r="P184" s="83">
        <v>12</v>
      </c>
      <c r="Q184" s="83">
        <v>87251.662700000001</v>
      </c>
      <c r="R184" s="83"/>
      <c r="S184" s="83"/>
      <c r="T184" s="83"/>
      <c r="U184" s="83"/>
      <c r="V184" s="83"/>
      <c r="W184" s="83"/>
      <c r="X184" s="167"/>
      <c r="Y184" s="168"/>
      <c r="Z184" s="168"/>
      <c r="AA184" s="168"/>
      <c r="AB184" s="168"/>
      <c r="AC184" s="168"/>
      <c r="AD184" s="168"/>
      <c r="AE184" s="168"/>
    </row>
    <row r="185" spans="1:256" s="141" customFormat="1" ht="30" x14ac:dyDescent="0.25">
      <c r="A185" s="138">
        <v>18.7</v>
      </c>
      <c r="B185" s="165" t="s">
        <v>409</v>
      </c>
      <c r="C185" s="110">
        <v>4010000</v>
      </c>
      <c r="D185" s="195" t="s">
        <v>120</v>
      </c>
      <c r="E185" s="195"/>
      <c r="F185" s="11">
        <v>245</v>
      </c>
      <c r="G185" s="81" t="s">
        <v>464</v>
      </c>
      <c r="H185" s="129">
        <v>12</v>
      </c>
      <c r="I185" s="151">
        <v>98229</v>
      </c>
      <c r="J185" s="174" t="s">
        <v>439</v>
      </c>
      <c r="K185" s="55">
        <v>58822.682900000007</v>
      </c>
      <c r="L185" s="55"/>
      <c r="M185" s="55"/>
      <c r="N185" s="80" t="s">
        <v>448</v>
      </c>
      <c r="O185" s="55"/>
      <c r="P185" s="83">
        <v>12</v>
      </c>
      <c r="Q185" s="83">
        <v>58822.682900000007</v>
      </c>
      <c r="R185" s="83"/>
      <c r="S185" s="83"/>
      <c r="T185" s="83"/>
      <c r="U185" s="83"/>
      <c r="V185" s="83"/>
      <c r="W185" s="83"/>
      <c r="X185" s="167"/>
      <c r="Y185" s="168"/>
      <c r="Z185" s="168"/>
      <c r="AA185" s="168"/>
      <c r="AB185" s="168"/>
      <c r="AC185" s="168"/>
      <c r="AD185" s="168"/>
      <c r="AE185" s="168"/>
    </row>
    <row r="186" spans="1:256" s="141" customFormat="1" ht="30" x14ac:dyDescent="0.25">
      <c r="A186" s="138">
        <v>18.8</v>
      </c>
      <c r="B186" s="165" t="s">
        <v>409</v>
      </c>
      <c r="C186" s="110">
        <v>4010000</v>
      </c>
      <c r="D186" s="195" t="s">
        <v>121</v>
      </c>
      <c r="E186" s="195"/>
      <c r="F186" s="11">
        <v>245</v>
      </c>
      <c r="G186" s="81" t="s">
        <v>464</v>
      </c>
      <c r="H186" s="129">
        <v>12</v>
      </c>
      <c r="I186" s="151">
        <v>98404</v>
      </c>
      <c r="J186" s="174" t="s">
        <v>440</v>
      </c>
      <c r="K186" s="55">
        <v>50592.173999999999</v>
      </c>
      <c r="L186" s="55"/>
      <c r="M186" s="55"/>
      <c r="N186" s="80" t="s">
        <v>448</v>
      </c>
      <c r="O186" s="55"/>
      <c r="P186" s="83">
        <v>12</v>
      </c>
      <c r="Q186" s="83">
        <v>50592.173999999999</v>
      </c>
      <c r="R186" s="83"/>
      <c r="S186" s="83"/>
      <c r="T186" s="83"/>
      <c r="U186" s="83"/>
      <c r="V186" s="83"/>
      <c r="W186" s="83"/>
      <c r="X186" s="167"/>
      <c r="Y186" s="168"/>
      <c r="Z186" s="168"/>
      <c r="AA186" s="168"/>
      <c r="AB186" s="168"/>
      <c r="AC186" s="168"/>
      <c r="AD186" s="168"/>
      <c r="AE186" s="168"/>
    </row>
    <row r="187" spans="1:256" s="141" customFormat="1" ht="30" x14ac:dyDescent="0.25">
      <c r="A187" s="138">
        <v>18.899999999999999</v>
      </c>
      <c r="B187" s="165" t="s">
        <v>409</v>
      </c>
      <c r="C187" s="110">
        <v>4010000</v>
      </c>
      <c r="D187" s="195" t="s">
        <v>122</v>
      </c>
      <c r="E187" s="195"/>
      <c r="F187" s="11">
        <v>245</v>
      </c>
      <c r="G187" s="81" t="s">
        <v>464</v>
      </c>
      <c r="H187" s="129">
        <v>12</v>
      </c>
      <c r="I187" s="151">
        <v>98406</v>
      </c>
      <c r="J187" s="174" t="s">
        <v>441</v>
      </c>
      <c r="K187" s="55">
        <v>64484.866100000007</v>
      </c>
      <c r="L187" s="55"/>
      <c r="M187" s="55"/>
      <c r="N187" s="80" t="s">
        <v>448</v>
      </c>
      <c r="O187" s="55"/>
      <c r="P187" s="83">
        <v>12</v>
      </c>
      <c r="Q187" s="83">
        <v>64484.866100000007</v>
      </c>
      <c r="R187" s="83"/>
      <c r="S187" s="83"/>
      <c r="T187" s="83"/>
      <c r="U187" s="83"/>
      <c r="V187" s="83"/>
      <c r="W187" s="83"/>
      <c r="X187" s="167"/>
      <c r="Y187" s="168"/>
      <c r="Z187" s="168"/>
      <c r="AA187" s="168"/>
      <c r="AB187" s="168"/>
      <c r="AC187" s="168"/>
      <c r="AD187" s="168"/>
      <c r="AE187" s="168"/>
    </row>
    <row r="188" spans="1:256" s="141" customFormat="1" ht="30" x14ac:dyDescent="0.25">
      <c r="A188" s="138">
        <v>18.100000000000001</v>
      </c>
      <c r="B188" s="165" t="s">
        <v>409</v>
      </c>
      <c r="C188" s="110">
        <v>4010000</v>
      </c>
      <c r="D188" s="195" t="s">
        <v>123</v>
      </c>
      <c r="E188" s="195"/>
      <c r="F188" s="11">
        <v>245</v>
      </c>
      <c r="G188" s="81" t="s">
        <v>464</v>
      </c>
      <c r="H188" s="129">
        <v>12</v>
      </c>
      <c r="I188" s="151">
        <v>98237551</v>
      </c>
      <c r="J188" s="174" t="s">
        <v>445</v>
      </c>
      <c r="K188" s="55">
        <v>22384</v>
      </c>
      <c r="L188" s="55"/>
      <c r="M188" s="55"/>
      <c r="N188" s="80" t="s">
        <v>448</v>
      </c>
      <c r="O188" s="55"/>
      <c r="P188" s="83">
        <v>12</v>
      </c>
      <c r="Q188" s="83">
        <v>22384</v>
      </c>
      <c r="R188" s="83"/>
      <c r="S188" s="83"/>
      <c r="T188" s="83"/>
      <c r="U188" s="83"/>
      <c r="V188" s="83"/>
      <c r="W188" s="83"/>
      <c r="X188" s="167"/>
      <c r="Y188" s="168"/>
      <c r="Z188" s="168"/>
      <c r="AA188" s="168"/>
      <c r="AB188" s="168"/>
      <c r="AC188" s="168"/>
      <c r="AD188" s="168"/>
      <c r="AE188" s="168"/>
    </row>
    <row r="189" spans="1:256" s="141" customFormat="1" ht="30" x14ac:dyDescent="0.25">
      <c r="A189" s="138">
        <v>18.11</v>
      </c>
      <c r="B189" s="165" t="s">
        <v>409</v>
      </c>
      <c r="C189" s="110">
        <v>4010000</v>
      </c>
      <c r="D189" s="195" t="s">
        <v>129</v>
      </c>
      <c r="E189" s="195"/>
      <c r="F189" s="11">
        <v>245</v>
      </c>
      <c r="G189" s="81" t="s">
        <v>464</v>
      </c>
      <c r="H189" s="129">
        <v>12</v>
      </c>
      <c r="I189" s="151">
        <v>98241501</v>
      </c>
      <c r="J189" s="24" t="s">
        <v>456</v>
      </c>
      <c r="K189" s="55">
        <v>9414.9</v>
      </c>
      <c r="L189" s="55"/>
      <c r="M189" s="55"/>
      <c r="N189" s="80" t="s">
        <v>448</v>
      </c>
      <c r="O189" s="55"/>
      <c r="P189" s="83">
        <v>12</v>
      </c>
      <c r="Q189" s="83">
        <v>9414.9</v>
      </c>
      <c r="R189" s="83"/>
      <c r="S189" s="83"/>
      <c r="T189" s="83"/>
      <c r="U189" s="83"/>
      <c r="V189" s="83"/>
      <c r="W189" s="83"/>
      <c r="X189" s="167"/>
      <c r="Y189" s="168"/>
      <c r="Z189" s="168"/>
      <c r="AA189" s="168"/>
      <c r="AB189" s="168"/>
      <c r="AC189" s="168"/>
      <c r="AD189" s="168"/>
      <c r="AE189" s="168"/>
    </row>
    <row r="190" spans="1:256" s="141" customFormat="1" ht="30" x14ac:dyDescent="0.25">
      <c r="A190" s="138">
        <v>18.12</v>
      </c>
      <c r="B190" s="165" t="s">
        <v>409</v>
      </c>
      <c r="C190" s="110">
        <v>4010000</v>
      </c>
      <c r="D190" s="195" t="s">
        <v>130</v>
      </c>
      <c r="E190" s="195"/>
      <c r="F190" s="11">
        <v>245</v>
      </c>
      <c r="G190" s="81" t="s">
        <v>464</v>
      </c>
      <c r="H190" s="129">
        <v>12</v>
      </c>
      <c r="I190" s="152">
        <v>98242</v>
      </c>
      <c r="J190" s="174" t="s">
        <v>446</v>
      </c>
      <c r="K190" s="55">
        <v>6487.1237000000001</v>
      </c>
      <c r="L190" s="55"/>
      <c r="M190" s="55"/>
      <c r="N190" s="80" t="s">
        <v>448</v>
      </c>
      <c r="O190" s="55"/>
      <c r="P190" s="83">
        <v>12</v>
      </c>
      <c r="Q190" s="83">
        <v>6487.1237000000001</v>
      </c>
      <c r="R190" s="83"/>
      <c r="S190" s="83"/>
      <c r="T190" s="83"/>
      <c r="U190" s="83"/>
      <c r="V190" s="83"/>
      <c r="W190" s="83"/>
      <c r="X190" s="167"/>
      <c r="Y190" s="168"/>
      <c r="Z190" s="168"/>
      <c r="AA190" s="168"/>
      <c r="AB190" s="168"/>
      <c r="AC190" s="168"/>
      <c r="AD190" s="168"/>
      <c r="AE190" s="168"/>
    </row>
    <row r="191" spans="1:256" s="141" customFormat="1" ht="30" x14ac:dyDescent="0.25">
      <c r="A191" s="138">
        <v>18.13</v>
      </c>
      <c r="B191" s="165" t="s">
        <v>409</v>
      </c>
      <c r="C191" s="110">
        <v>4010000</v>
      </c>
      <c r="D191" s="195" t="s">
        <v>131</v>
      </c>
      <c r="E191" s="195"/>
      <c r="F191" s="11">
        <v>245</v>
      </c>
      <c r="G191" s="81" t="s">
        <v>464</v>
      </c>
      <c r="H191" s="129">
        <v>12</v>
      </c>
      <c r="I191" s="152">
        <v>98248</v>
      </c>
      <c r="J191" s="83" t="s">
        <v>444</v>
      </c>
      <c r="K191" s="55">
        <v>25094.556258896388</v>
      </c>
      <c r="L191" s="55"/>
      <c r="M191" s="55"/>
      <c r="N191" s="80" t="s">
        <v>448</v>
      </c>
      <c r="O191" s="55"/>
      <c r="P191" s="83">
        <v>12</v>
      </c>
      <c r="Q191" s="83">
        <v>25094.556258896388</v>
      </c>
      <c r="R191" s="83"/>
      <c r="S191" s="83"/>
      <c r="T191" s="83"/>
      <c r="U191" s="83"/>
      <c r="V191" s="83"/>
      <c r="W191" s="83"/>
      <c r="X191" s="167"/>
      <c r="Y191" s="168"/>
      <c r="Z191" s="168"/>
      <c r="AA191" s="168"/>
      <c r="AB191" s="168"/>
      <c r="AC191" s="168"/>
      <c r="AD191" s="168"/>
      <c r="AE191" s="168"/>
    </row>
    <row r="192" spans="1:256" s="141" customFormat="1" ht="30" x14ac:dyDescent="0.25">
      <c r="A192" s="138">
        <v>18.14</v>
      </c>
      <c r="B192" s="165" t="s">
        <v>409</v>
      </c>
      <c r="C192" s="110">
        <v>4010000</v>
      </c>
      <c r="D192" s="195" t="s">
        <v>132</v>
      </c>
      <c r="E192" s="195"/>
      <c r="F192" s="11">
        <v>245</v>
      </c>
      <c r="G192" s="81" t="s">
        <v>464</v>
      </c>
      <c r="H192" s="129">
        <v>12</v>
      </c>
      <c r="I192" s="151">
        <v>98204</v>
      </c>
      <c r="J192" s="83" t="s">
        <v>431</v>
      </c>
      <c r="K192" s="55">
        <v>11450.4766</v>
      </c>
      <c r="L192" s="55"/>
      <c r="M192" s="55"/>
      <c r="N192" s="80" t="s">
        <v>448</v>
      </c>
      <c r="O192" s="55"/>
      <c r="P192" s="83">
        <v>12</v>
      </c>
      <c r="Q192" s="83">
        <v>11450.4766</v>
      </c>
      <c r="R192" s="83"/>
      <c r="S192" s="83"/>
      <c r="T192" s="83"/>
      <c r="U192" s="83"/>
      <c r="V192" s="83"/>
      <c r="W192" s="83"/>
      <c r="X192" s="167"/>
      <c r="Y192" s="168"/>
      <c r="Z192" s="168"/>
      <c r="AA192" s="168"/>
      <c r="AB192" s="168"/>
      <c r="AC192" s="168"/>
      <c r="AD192" s="168"/>
      <c r="AE192" s="168"/>
    </row>
    <row r="193" spans="1:256" s="141" customFormat="1" ht="30" x14ac:dyDescent="0.25">
      <c r="A193" s="138">
        <v>18.149999999999999</v>
      </c>
      <c r="B193" s="165" t="s">
        <v>409</v>
      </c>
      <c r="C193" s="110">
        <v>4010000</v>
      </c>
      <c r="D193" s="195" t="s">
        <v>125</v>
      </c>
      <c r="E193" s="195"/>
      <c r="F193" s="11">
        <v>245</v>
      </c>
      <c r="G193" s="81" t="s">
        <v>464</v>
      </c>
      <c r="H193" s="129">
        <v>12</v>
      </c>
      <c r="I193" s="151">
        <v>98254551</v>
      </c>
      <c r="J193" s="24" t="s">
        <v>442</v>
      </c>
      <c r="K193" s="55">
        <v>20099.027999999998</v>
      </c>
      <c r="L193" s="55"/>
      <c r="M193" s="55"/>
      <c r="N193" s="80" t="s">
        <v>448</v>
      </c>
      <c r="O193" s="55"/>
      <c r="P193" s="83">
        <v>12</v>
      </c>
      <c r="Q193" s="83">
        <v>20099.027999999998</v>
      </c>
      <c r="R193" s="83"/>
      <c r="S193" s="83"/>
      <c r="T193" s="83"/>
      <c r="U193" s="83"/>
      <c r="V193" s="83"/>
      <c r="W193" s="83"/>
      <c r="X193" s="167"/>
      <c r="Y193" s="168"/>
      <c r="Z193" s="168"/>
      <c r="AA193" s="168"/>
      <c r="AB193" s="168"/>
      <c r="AC193" s="168"/>
      <c r="AD193" s="168"/>
      <c r="AE193" s="168"/>
    </row>
    <row r="194" spans="1:256" s="141" customFormat="1" ht="30" x14ac:dyDescent="0.25">
      <c r="A194" s="138">
        <v>18.16</v>
      </c>
      <c r="B194" s="165" t="s">
        <v>409</v>
      </c>
      <c r="C194" s="110">
        <v>4010000</v>
      </c>
      <c r="D194" s="195" t="s">
        <v>124</v>
      </c>
      <c r="E194" s="195"/>
      <c r="F194" s="11">
        <v>245</v>
      </c>
      <c r="G194" s="81" t="s">
        <v>464</v>
      </c>
      <c r="H194" s="129">
        <v>12</v>
      </c>
      <c r="I194" s="151">
        <v>98231509</v>
      </c>
      <c r="J194" s="174" t="s">
        <v>443</v>
      </c>
      <c r="K194" s="55">
        <v>12269.264999999999</v>
      </c>
      <c r="L194" s="55"/>
      <c r="M194" s="55"/>
      <c r="N194" s="80" t="s">
        <v>448</v>
      </c>
      <c r="O194" s="55"/>
      <c r="P194" s="83">
        <v>12</v>
      </c>
      <c r="Q194" s="83">
        <v>12269.264999999999</v>
      </c>
      <c r="R194" s="83"/>
      <c r="S194" s="83"/>
      <c r="T194" s="83"/>
      <c r="U194" s="83"/>
      <c r="V194" s="83"/>
      <c r="W194" s="83"/>
      <c r="X194" s="167"/>
      <c r="Y194" s="168"/>
      <c r="Z194" s="168"/>
      <c r="AA194" s="168"/>
      <c r="AB194" s="168"/>
      <c r="AC194" s="168"/>
      <c r="AD194" s="168"/>
      <c r="AE194" s="168"/>
    </row>
    <row r="195" spans="1:256" s="141" customFormat="1" ht="45" x14ac:dyDescent="0.25">
      <c r="A195" s="138">
        <v>18.170000000000002</v>
      </c>
      <c r="B195" s="165" t="s">
        <v>409</v>
      </c>
      <c r="C195" s="110">
        <v>4010000</v>
      </c>
      <c r="D195" s="195" t="s">
        <v>133</v>
      </c>
      <c r="E195" s="195"/>
      <c r="F195" s="11">
        <v>245</v>
      </c>
      <c r="G195" s="81" t="s">
        <v>464</v>
      </c>
      <c r="H195" s="129">
        <v>12</v>
      </c>
      <c r="I195" s="151">
        <v>98258</v>
      </c>
      <c r="J195" s="83" t="s">
        <v>435</v>
      </c>
      <c r="K195" s="55">
        <v>14605.609400000001</v>
      </c>
      <c r="L195" s="55"/>
      <c r="M195" s="55"/>
      <c r="N195" s="80" t="s">
        <v>448</v>
      </c>
      <c r="O195" s="55"/>
      <c r="P195" s="83">
        <v>12</v>
      </c>
      <c r="Q195" s="83">
        <v>14605.609400000001</v>
      </c>
      <c r="R195" s="83"/>
      <c r="S195" s="83"/>
      <c r="T195" s="83"/>
      <c r="U195" s="83"/>
      <c r="V195" s="83"/>
      <c r="W195" s="83"/>
      <c r="X195" s="167"/>
      <c r="Y195" s="168"/>
      <c r="Z195" s="168"/>
      <c r="AA195" s="168"/>
      <c r="AB195" s="168"/>
      <c r="AC195" s="168"/>
      <c r="AD195" s="168"/>
      <c r="AE195" s="168"/>
    </row>
    <row r="196" spans="1:256" s="141" customFormat="1" ht="30" x14ac:dyDescent="0.25">
      <c r="A196" s="138">
        <v>18.18</v>
      </c>
      <c r="B196" s="165" t="s">
        <v>409</v>
      </c>
      <c r="C196" s="110">
        <v>4010000</v>
      </c>
      <c r="D196" s="195" t="s">
        <v>126</v>
      </c>
      <c r="E196" s="195"/>
      <c r="F196" s="11">
        <v>245</v>
      </c>
      <c r="G196" s="81" t="s">
        <v>464</v>
      </c>
      <c r="H196" s="129">
        <v>12</v>
      </c>
      <c r="I196" s="151">
        <v>98401</v>
      </c>
      <c r="J196" s="174" t="s">
        <v>429</v>
      </c>
      <c r="K196" s="55">
        <v>1146006.6355674234</v>
      </c>
      <c r="L196" s="55"/>
      <c r="M196" s="55"/>
      <c r="N196" s="80" t="s">
        <v>448</v>
      </c>
      <c r="O196" s="55"/>
      <c r="P196" s="83">
        <v>12</v>
      </c>
      <c r="Q196" s="83">
        <v>1146006.6355674234</v>
      </c>
      <c r="R196" s="83"/>
      <c r="S196" s="83"/>
      <c r="T196" s="83"/>
      <c r="U196" s="83"/>
      <c r="V196" s="83"/>
      <c r="W196" s="83"/>
      <c r="X196" s="167"/>
      <c r="Y196" s="168"/>
      <c r="Z196" s="168"/>
      <c r="AA196" s="168"/>
      <c r="AB196" s="168"/>
      <c r="AC196" s="168"/>
      <c r="AD196" s="168"/>
      <c r="AE196" s="168"/>
    </row>
    <row r="197" spans="1:256" s="164" customFormat="1" ht="14.25" x14ac:dyDescent="0.2">
      <c r="A197" s="140">
        <v>19</v>
      </c>
      <c r="B197" s="156"/>
      <c r="C197" s="157"/>
      <c r="D197" s="158" t="s">
        <v>136</v>
      </c>
      <c r="E197" s="158"/>
      <c r="F197" s="159"/>
      <c r="G197" s="160"/>
      <c r="H197" s="160"/>
      <c r="I197" s="161"/>
      <c r="J197" s="162"/>
      <c r="K197" s="162"/>
      <c r="L197" s="162"/>
      <c r="M197" s="162"/>
      <c r="N197" s="162"/>
      <c r="O197" s="162"/>
      <c r="P197" s="162"/>
      <c r="Q197" s="162"/>
      <c r="R197" s="162"/>
      <c r="S197" s="162"/>
      <c r="T197" s="162"/>
      <c r="U197" s="162"/>
      <c r="V197" s="162"/>
      <c r="W197" s="162"/>
      <c r="X197" s="163"/>
      <c r="Y197" s="140"/>
      <c r="Z197" s="156"/>
      <c r="AA197" s="157"/>
      <c r="AB197" s="158"/>
      <c r="AC197" s="158"/>
      <c r="AD197" s="159"/>
      <c r="AE197" s="160"/>
      <c r="AF197" s="160"/>
      <c r="AG197" s="162"/>
      <c r="AH197" s="162"/>
      <c r="AI197" s="162"/>
      <c r="AJ197" s="162"/>
      <c r="AK197" s="162"/>
      <c r="AL197" s="162"/>
      <c r="AM197" s="162"/>
      <c r="AN197" s="162"/>
      <c r="AO197" s="162"/>
      <c r="AP197" s="162"/>
      <c r="AQ197" s="162"/>
      <c r="AR197" s="162"/>
      <c r="AS197" s="162"/>
      <c r="AT197" s="162"/>
      <c r="AU197" s="162"/>
      <c r="AV197" s="163"/>
      <c r="AW197" s="140"/>
      <c r="AX197" s="156"/>
      <c r="AY197" s="157"/>
      <c r="AZ197" s="158"/>
      <c r="BA197" s="158"/>
      <c r="BB197" s="159"/>
      <c r="BC197" s="160"/>
      <c r="BD197" s="160"/>
      <c r="BE197" s="162"/>
      <c r="BF197" s="162"/>
      <c r="BG197" s="162"/>
      <c r="BH197" s="162"/>
      <c r="BI197" s="162"/>
      <c r="BJ197" s="162"/>
      <c r="BK197" s="162"/>
      <c r="BL197" s="162"/>
      <c r="BM197" s="162"/>
      <c r="BN197" s="162"/>
      <c r="BO197" s="162"/>
      <c r="BP197" s="162"/>
      <c r="BQ197" s="162"/>
      <c r="BR197" s="162"/>
      <c r="BS197" s="162"/>
      <c r="BT197" s="163"/>
      <c r="BU197" s="140"/>
      <c r="BV197" s="156"/>
      <c r="BW197" s="157"/>
      <c r="BX197" s="158"/>
      <c r="BY197" s="158"/>
      <c r="BZ197" s="159"/>
      <c r="CA197" s="160"/>
      <c r="CB197" s="160"/>
      <c r="CC197" s="162"/>
      <c r="CD197" s="162"/>
      <c r="CE197" s="162"/>
      <c r="CF197" s="162"/>
      <c r="CG197" s="162"/>
      <c r="CH197" s="162"/>
      <c r="CI197" s="162"/>
      <c r="CJ197" s="162"/>
      <c r="CK197" s="162"/>
      <c r="CL197" s="162"/>
      <c r="CM197" s="162"/>
      <c r="CN197" s="162"/>
      <c r="CO197" s="162"/>
      <c r="CP197" s="162"/>
      <c r="CQ197" s="162"/>
      <c r="CR197" s="163"/>
      <c r="CS197" s="140"/>
      <c r="CT197" s="156"/>
      <c r="CU197" s="157"/>
      <c r="CV197" s="158"/>
      <c r="CW197" s="158"/>
      <c r="CX197" s="159"/>
      <c r="CY197" s="160"/>
      <c r="CZ197" s="160"/>
      <c r="DA197" s="162"/>
      <c r="DB197" s="162"/>
      <c r="DC197" s="162"/>
      <c r="DD197" s="162"/>
      <c r="DE197" s="162"/>
      <c r="DF197" s="162"/>
      <c r="DG197" s="162"/>
      <c r="DH197" s="162"/>
      <c r="DI197" s="162"/>
      <c r="DJ197" s="162"/>
      <c r="DK197" s="162"/>
      <c r="DL197" s="162"/>
      <c r="DM197" s="162"/>
      <c r="DN197" s="162"/>
      <c r="DO197" s="162"/>
      <c r="DP197" s="163"/>
      <c r="DQ197" s="140"/>
      <c r="DR197" s="156"/>
      <c r="DS197" s="157"/>
      <c r="DT197" s="158"/>
      <c r="DU197" s="158"/>
      <c r="DV197" s="159"/>
      <c r="DW197" s="160"/>
      <c r="DX197" s="160"/>
      <c r="DY197" s="162"/>
      <c r="DZ197" s="162"/>
      <c r="EA197" s="162"/>
      <c r="EB197" s="162"/>
      <c r="EC197" s="162"/>
      <c r="ED197" s="162"/>
      <c r="EE197" s="162"/>
      <c r="EF197" s="162"/>
      <c r="EG197" s="162"/>
      <c r="EH197" s="162"/>
      <c r="EI197" s="162"/>
      <c r="EJ197" s="162"/>
      <c r="EK197" s="162"/>
      <c r="EL197" s="162"/>
      <c r="EM197" s="162"/>
      <c r="EN197" s="163"/>
      <c r="EO197" s="140"/>
      <c r="EP197" s="156"/>
      <c r="EQ197" s="157"/>
      <c r="ER197" s="158"/>
      <c r="ES197" s="158"/>
      <c r="ET197" s="159"/>
      <c r="EU197" s="160"/>
      <c r="EV197" s="160"/>
      <c r="EW197" s="162"/>
      <c r="EX197" s="162"/>
      <c r="EY197" s="162"/>
      <c r="EZ197" s="162"/>
      <c r="FA197" s="162"/>
      <c r="FB197" s="162"/>
      <c r="FC197" s="162"/>
      <c r="FD197" s="162"/>
      <c r="FE197" s="162"/>
      <c r="FF197" s="162"/>
      <c r="FG197" s="162"/>
      <c r="FH197" s="162"/>
      <c r="FI197" s="162"/>
      <c r="FJ197" s="162"/>
      <c r="FK197" s="162"/>
      <c r="FL197" s="163"/>
      <c r="FM197" s="140"/>
      <c r="FN197" s="156"/>
      <c r="FO197" s="157"/>
      <c r="FP197" s="158"/>
      <c r="FQ197" s="158"/>
      <c r="FR197" s="159"/>
      <c r="FS197" s="160"/>
      <c r="FT197" s="160"/>
      <c r="FU197" s="162"/>
      <c r="FV197" s="162"/>
      <c r="FW197" s="162"/>
      <c r="FX197" s="162"/>
      <c r="FY197" s="162"/>
      <c r="FZ197" s="162"/>
      <c r="GA197" s="162"/>
      <c r="GB197" s="162"/>
      <c r="GC197" s="162"/>
      <c r="GD197" s="162"/>
      <c r="GE197" s="162"/>
      <c r="GF197" s="162"/>
      <c r="GG197" s="162"/>
      <c r="GH197" s="162"/>
      <c r="GI197" s="162"/>
      <c r="GJ197" s="163"/>
      <c r="GK197" s="140"/>
      <c r="GL197" s="156"/>
      <c r="GM197" s="157"/>
      <c r="GN197" s="158"/>
      <c r="GO197" s="158"/>
      <c r="GP197" s="159"/>
      <c r="GQ197" s="160"/>
      <c r="GR197" s="160"/>
      <c r="GS197" s="162"/>
      <c r="GT197" s="162"/>
      <c r="GU197" s="162"/>
      <c r="GV197" s="162"/>
      <c r="GW197" s="162"/>
      <c r="GX197" s="162"/>
      <c r="GY197" s="162"/>
      <c r="GZ197" s="162"/>
      <c r="HA197" s="162"/>
      <c r="HB197" s="162"/>
      <c r="HC197" s="162"/>
      <c r="HD197" s="162"/>
      <c r="HE197" s="162"/>
      <c r="HF197" s="162"/>
      <c r="HG197" s="162"/>
      <c r="HH197" s="163"/>
      <c r="HI197" s="140"/>
      <c r="HJ197" s="156"/>
      <c r="HK197" s="157"/>
      <c r="HL197" s="158"/>
      <c r="HM197" s="158"/>
      <c r="HN197" s="159"/>
      <c r="HO197" s="160"/>
      <c r="HP197" s="160"/>
      <c r="HQ197" s="162"/>
      <c r="HR197" s="162"/>
      <c r="HS197" s="162"/>
      <c r="HT197" s="162"/>
      <c r="HU197" s="162"/>
      <c r="HV197" s="162"/>
      <c r="HW197" s="162"/>
      <c r="HX197" s="162"/>
      <c r="HY197" s="162"/>
      <c r="HZ197" s="162"/>
      <c r="IA197" s="162"/>
      <c r="IB197" s="162"/>
      <c r="IC197" s="162"/>
      <c r="ID197" s="162"/>
      <c r="IE197" s="162"/>
      <c r="IF197" s="163"/>
      <c r="IG197" s="140"/>
      <c r="IH197" s="156"/>
      <c r="II197" s="157"/>
      <c r="IJ197" s="158"/>
      <c r="IK197" s="158"/>
      <c r="IL197" s="159"/>
      <c r="IM197" s="160"/>
      <c r="IN197" s="160"/>
      <c r="IO197" s="162"/>
      <c r="IP197" s="162"/>
      <c r="IQ197" s="162"/>
      <c r="IR197" s="162"/>
      <c r="IS197" s="162"/>
      <c r="IT197" s="162"/>
      <c r="IU197" s="162"/>
      <c r="IV197" s="162"/>
    </row>
    <row r="198" spans="1:256" s="141" customFormat="1" x14ac:dyDescent="0.25">
      <c r="A198" s="138">
        <v>19.100000000000001</v>
      </c>
      <c r="B198" s="165" t="s">
        <v>428</v>
      </c>
      <c r="C198" s="110">
        <v>2929764</v>
      </c>
      <c r="D198" s="80" t="s">
        <v>137</v>
      </c>
      <c r="E198" s="80"/>
      <c r="F198" s="110">
        <v>796</v>
      </c>
      <c r="G198" s="81" t="s">
        <v>17</v>
      </c>
      <c r="H198" s="81">
        <v>1</v>
      </c>
      <c r="I198" s="151">
        <v>98401</v>
      </c>
      <c r="J198" s="83" t="s">
        <v>429</v>
      </c>
      <c r="K198" s="83">
        <v>7950</v>
      </c>
      <c r="L198" s="83"/>
      <c r="M198" s="83"/>
      <c r="N198" s="83"/>
      <c r="O198" s="83"/>
      <c r="P198" s="83">
        <v>1</v>
      </c>
      <c r="Q198" s="83">
        <v>7950</v>
      </c>
      <c r="R198" s="83"/>
      <c r="S198" s="83"/>
      <c r="T198" s="83"/>
      <c r="U198" s="83"/>
      <c r="V198" s="83"/>
      <c r="W198" s="83"/>
      <c r="X198" s="167"/>
      <c r="Y198" s="168"/>
      <c r="Z198" s="168"/>
      <c r="AA198" s="168"/>
      <c r="AB198" s="168"/>
      <c r="AC198" s="168"/>
      <c r="AD198" s="168"/>
      <c r="AE198" s="168"/>
    </row>
    <row r="199" spans="1:256" s="141" customFormat="1" ht="30" x14ac:dyDescent="0.25">
      <c r="A199" s="138">
        <v>19.2</v>
      </c>
      <c r="B199" s="165" t="s">
        <v>428</v>
      </c>
      <c r="C199" s="110">
        <v>2929764</v>
      </c>
      <c r="D199" s="80" t="s">
        <v>138</v>
      </c>
      <c r="E199" s="80"/>
      <c r="F199" s="110">
        <v>796</v>
      </c>
      <c r="G199" s="81" t="s">
        <v>17</v>
      </c>
      <c r="H199" s="81">
        <v>1</v>
      </c>
      <c r="I199" s="151">
        <v>98401</v>
      </c>
      <c r="J199" s="83" t="s">
        <v>429</v>
      </c>
      <c r="K199" s="83">
        <v>14301</v>
      </c>
      <c r="L199" s="83"/>
      <c r="M199" s="83"/>
      <c r="N199" s="83"/>
      <c r="O199" s="83"/>
      <c r="P199" s="83">
        <v>1</v>
      </c>
      <c r="Q199" s="83">
        <v>14301</v>
      </c>
      <c r="R199" s="83"/>
      <c r="S199" s="83"/>
      <c r="T199" s="83"/>
      <c r="U199" s="83"/>
      <c r="V199" s="83"/>
      <c r="W199" s="83"/>
      <c r="X199" s="167"/>
      <c r="Y199" s="168"/>
      <c r="Z199" s="168"/>
      <c r="AA199" s="168"/>
      <c r="AB199" s="168"/>
      <c r="AC199" s="168"/>
      <c r="AD199" s="168"/>
      <c r="AE199" s="168"/>
    </row>
    <row r="200" spans="1:256" s="141" customFormat="1" ht="30" x14ac:dyDescent="0.25">
      <c r="A200" s="138">
        <v>19.3</v>
      </c>
      <c r="B200" s="165" t="s">
        <v>428</v>
      </c>
      <c r="C200" s="110">
        <v>2929764</v>
      </c>
      <c r="D200" s="80" t="s">
        <v>139</v>
      </c>
      <c r="E200" s="80"/>
      <c r="F200" s="110">
        <v>796</v>
      </c>
      <c r="G200" s="81" t="s">
        <v>17</v>
      </c>
      <c r="H200" s="81">
        <v>1</v>
      </c>
      <c r="I200" s="151">
        <v>98401</v>
      </c>
      <c r="J200" s="83" t="s">
        <v>429</v>
      </c>
      <c r="K200" s="83">
        <v>41300</v>
      </c>
      <c r="L200" s="83"/>
      <c r="M200" s="83"/>
      <c r="N200" s="83"/>
      <c r="O200" s="83"/>
      <c r="P200" s="83">
        <v>1</v>
      </c>
      <c r="Q200" s="83">
        <v>41300</v>
      </c>
      <c r="R200" s="83"/>
      <c r="S200" s="83"/>
      <c r="T200" s="83"/>
      <c r="U200" s="83"/>
      <c r="V200" s="83"/>
      <c r="W200" s="83"/>
      <c r="X200" s="167"/>
      <c r="Y200" s="168"/>
      <c r="Z200" s="168"/>
      <c r="AA200" s="168"/>
      <c r="AB200" s="168"/>
      <c r="AC200" s="168"/>
      <c r="AD200" s="168"/>
      <c r="AE200" s="168"/>
    </row>
    <row r="201" spans="1:256" s="141" customFormat="1" x14ac:dyDescent="0.25">
      <c r="A201" s="138">
        <v>19.399999999999999</v>
      </c>
      <c r="B201" s="165" t="s">
        <v>428</v>
      </c>
      <c r="C201" s="110">
        <v>2929764</v>
      </c>
      <c r="D201" s="80" t="s">
        <v>140</v>
      </c>
      <c r="E201" s="80"/>
      <c r="F201" s="110">
        <v>796</v>
      </c>
      <c r="G201" s="81" t="s">
        <v>17</v>
      </c>
      <c r="H201" s="81">
        <v>1</v>
      </c>
      <c r="I201" s="151">
        <v>98401</v>
      </c>
      <c r="J201" s="83" t="s">
        <v>429</v>
      </c>
      <c r="K201" s="83">
        <v>54280</v>
      </c>
      <c r="L201" s="83"/>
      <c r="M201" s="83"/>
      <c r="N201" s="83"/>
      <c r="O201" s="83"/>
      <c r="P201" s="83">
        <v>1</v>
      </c>
      <c r="Q201" s="83">
        <v>54280</v>
      </c>
      <c r="R201" s="83"/>
      <c r="S201" s="83"/>
      <c r="T201" s="83"/>
      <c r="U201" s="83"/>
      <c r="V201" s="83"/>
      <c r="W201" s="83"/>
      <c r="X201" s="167"/>
      <c r="Y201" s="168"/>
      <c r="Z201" s="168"/>
      <c r="AA201" s="168"/>
      <c r="AB201" s="168"/>
      <c r="AC201" s="168"/>
      <c r="AD201" s="168"/>
      <c r="AE201" s="168"/>
    </row>
    <row r="202" spans="1:256" s="141" customFormat="1" x14ac:dyDescent="0.25">
      <c r="A202" s="138">
        <v>19.5</v>
      </c>
      <c r="B202" s="165" t="s">
        <v>428</v>
      </c>
      <c r="C202" s="110">
        <v>2929764</v>
      </c>
      <c r="D202" s="80" t="s">
        <v>141</v>
      </c>
      <c r="E202" s="80"/>
      <c r="F202" s="110">
        <v>796</v>
      </c>
      <c r="G202" s="81" t="s">
        <v>17</v>
      </c>
      <c r="H202" s="81">
        <v>1</v>
      </c>
      <c r="I202" s="151">
        <v>98401</v>
      </c>
      <c r="J202" s="83" t="s">
        <v>429</v>
      </c>
      <c r="K202" s="83">
        <v>138060</v>
      </c>
      <c r="L202" s="83"/>
      <c r="M202" s="83"/>
      <c r="N202" s="83"/>
      <c r="O202" s="83"/>
      <c r="P202" s="83">
        <v>1</v>
      </c>
      <c r="Q202" s="83">
        <v>138060</v>
      </c>
      <c r="R202" s="83"/>
      <c r="S202" s="83"/>
      <c r="T202" s="83"/>
      <c r="U202" s="83"/>
      <c r="V202" s="83"/>
      <c r="W202" s="83"/>
      <c r="X202" s="167"/>
      <c r="Y202" s="168"/>
      <c r="Z202" s="168"/>
      <c r="AA202" s="168"/>
      <c r="AB202" s="168"/>
      <c r="AC202" s="168"/>
      <c r="AD202" s="168"/>
      <c r="AE202" s="168"/>
    </row>
    <row r="203" spans="1:256" s="141" customFormat="1" x14ac:dyDescent="0.25">
      <c r="A203" s="138">
        <v>19.600000000000001</v>
      </c>
      <c r="B203" s="165" t="s">
        <v>428</v>
      </c>
      <c r="C203" s="110">
        <v>2929764</v>
      </c>
      <c r="D203" s="80" t="s">
        <v>142</v>
      </c>
      <c r="E203" s="80"/>
      <c r="F203" s="110">
        <v>796</v>
      </c>
      <c r="G203" s="81" t="s">
        <v>17</v>
      </c>
      <c r="H203" s="81">
        <v>1</v>
      </c>
      <c r="I203" s="151">
        <v>98401</v>
      </c>
      <c r="J203" s="83" t="s">
        <v>429</v>
      </c>
      <c r="K203" s="83">
        <v>215770</v>
      </c>
      <c r="L203" s="83"/>
      <c r="M203" s="83"/>
      <c r="N203" s="83"/>
      <c r="O203" s="83"/>
      <c r="P203" s="83">
        <v>1</v>
      </c>
      <c r="Q203" s="83">
        <v>215770</v>
      </c>
      <c r="R203" s="83"/>
      <c r="S203" s="83"/>
      <c r="T203" s="83"/>
      <c r="U203" s="83"/>
      <c r="V203" s="83"/>
      <c r="W203" s="83"/>
      <c r="X203" s="167"/>
      <c r="Y203" s="168"/>
      <c r="Z203" s="168"/>
      <c r="AA203" s="168"/>
      <c r="AB203" s="168"/>
      <c r="AC203" s="168"/>
      <c r="AD203" s="168"/>
      <c r="AE203" s="168"/>
    </row>
    <row r="204" spans="1:256" s="141" customFormat="1" ht="30" x14ac:dyDescent="0.25">
      <c r="A204" s="138">
        <v>19.7</v>
      </c>
      <c r="B204" s="165" t="s">
        <v>428</v>
      </c>
      <c r="C204" s="110">
        <v>2929764</v>
      </c>
      <c r="D204" s="80" t="s">
        <v>143</v>
      </c>
      <c r="E204" s="80"/>
      <c r="F204" s="110">
        <v>796</v>
      </c>
      <c r="G204" s="81" t="s">
        <v>17</v>
      </c>
      <c r="H204" s="81">
        <v>1</v>
      </c>
      <c r="I204" s="151">
        <v>98401</v>
      </c>
      <c r="J204" s="83" t="s">
        <v>429</v>
      </c>
      <c r="K204" s="83">
        <v>61170</v>
      </c>
      <c r="L204" s="83"/>
      <c r="M204" s="83"/>
      <c r="N204" s="83"/>
      <c r="O204" s="83"/>
      <c r="P204" s="83">
        <v>1</v>
      </c>
      <c r="Q204" s="83">
        <v>61170</v>
      </c>
      <c r="R204" s="83"/>
      <c r="S204" s="83"/>
      <c r="T204" s="83"/>
      <c r="U204" s="83"/>
      <c r="V204" s="83"/>
      <c r="W204" s="83"/>
      <c r="X204" s="167"/>
      <c r="Y204" s="168"/>
      <c r="Z204" s="168"/>
      <c r="AA204" s="168"/>
      <c r="AB204" s="168"/>
      <c r="AC204" s="168"/>
      <c r="AD204" s="168"/>
      <c r="AE204" s="168"/>
    </row>
    <row r="205" spans="1:256" s="141" customFormat="1" x14ac:dyDescent="0.25">
      <c r="A205" s="138">
        <v>19.8</v>
      </c>
      <c r="B205" s="165" t="s">
        <v>428</v>
      </c>
      <c r="C205" s="110">
        <v>2929764</v>
      </c>
      <c r="D205" s="80" t="s">
        <v>144</v>
      </c>
      <c r="E205" s="80"/>
      <c r="F205" s="110">
        <v>796</v>
      </c>
      <c r="G205" s="81" t="s">
        <v>17</v>
      </c>
      <c r="H205" s="81">
        <v>1</v>
      </c>
      <c r="I205" s="151">
        <v>98401</v>
      </c>
      <c r="J205" s="83" t="s">
        <v>429</v>
      </c>
      <c r="K205" s="83">
        <v>11750</v>
      </c>
      <c r="L205" s="83"/>
      <c r="M205" s="83"/>
      <c r="N205" s="83"/>
      <c r="O205" s="83"/>
      <c r="P205" s="83">
        <v>1</v>
      </c>
      <c r="Q205" s="83">
        <v>11750</v>
      </c>
      <c r="R205" s="83"/>
      <c r="S205" s="83"/>
      <c r="T205" s="83"/>
      <c r="U205" s="83"/>
      <c r="V205" s="83"/>
      <c r="W205" s="83"/>
      <c r="X205" s="167"/>
      <c r="Y205" s="168"/>
      <c r="Z205" s="168"/>
      <c r="AA205" s="168"/>
      <c r="AB205" s="168"/>
      <c r="AC205" s="168"/>
      <c r="AD205" s="168"/>
      <c r="AE205" s="168"/>
    </row>
    <row r="206" spans="1:256" s="141" customFormat="1" x14ac:dyDescent="0.25">
      <c r="A206" s="138">
        <v>19.899999999999999</v>
      </c>
      <c r="B206" s="165" t="s">
        <v>428</v>
      </c>
      <c r="C206" s="110">
        <v>2929764</v>
      </c>
      <c r="D206" s="80" t="s">
        <v>145</v>
      </c>
      <c r="E206" s="80"/>
      <c r="F206" s="110">
        <v>796</v>
      </c>
      <c r="G206" s="81" t="s">
        <v>17</v>
      </c>
      <c r="H206" s="81">
        <v>1</v>
      </c>
      <c r="I206" s="151">
        <v>98401</v>
      </c>
      <c r="J206" s="83" t="s">
        <v>429</v>
      </c>
      <c r="K206" s="83">
        <v>14500</v>
      </c>
      <c r="L206" s="83"/>
      <c r="M206" s="83"/>
      <c r="N206" s="83"/>
      <c r="O206" s="83"/>
      <c r="P206" s="83">
        <v>1</v>
      </c>
      <c r="Q206" s="83">
        <v>14500</v>
      </c>
      <c r="R206" s="83"/>
      <c r="S206" s="83"/>
      <c r="T206" s="83"/>
      <c r="U206" s="83"/>
      <c r="V206" s="83"/>
      <c r="W206" s="83"/>
      <c r="X206" s="167"/>
      <c r="Y206" s="168"/>
      <c r="Z206" s="168"/>
      <c r="AA206" s="168"/>
      <c r="AB206" s="168"/>
      <c r="AC206" s="168"/>
      <c r="AD206" s="168"/>
      <c r="AE206" s="168"/>
    </row>
    <row r="207" spans="1:256" s="141" customFormat="1" x14ac:dyDescent="0.25">
      <c r="A207" s="138">
        <v>19.100000000000001</v>
      </c>
      <c r="B207" s="165" t="s">
        <v>428</v>
      </c>
      <c r="C207" s="110">
        <v>2929764</v>
      </c>
      <c r="D207" s="80" t="s">
        <v>146</v>
      </c>
      <c r="E207" s="80"/>
      <c r="F207" s="110">
        <v>796</v>
      </c>
      <c r="G207" s="81" t="s">
        <v>17</v>
      </c>
      <c r="H207" s="81">
        <v>1</v>
      </c>
      <c r="I207" s="151">
        <v>98401</v>
      </c>
      <c r="J207" s="83" t="s">
        <v>429</v>
      </c>
      <c r="K207" s="83">
        <v>201000</v>
      </c>
      <c r="L207" s="83"/>
      <c r="M207" s="83"/>
      <c r="N207" s="83"/>
      <c r="O207" s="83"/>
      <c r="P207" s="83">
        <v>1</v>
      </c>
      <c r="Q207" s="83">
        <v>201000</v>
      </c>
      <c r="R207" s="83"/>
      <c r="S207" s="83"/>
      <c r="T207" s="83"/>
      <c r="U207" s="83"/>
      <c r="V207" s="83"/>
      <c r="W207" s="83"/>
      <c r="X207" s="167"/>
      <c r="Y207" s="168"/>
      <c r="Z207" s="168"/>
      <c r="AA207" s="168"/>
      <c r="AB207" s="168"/>
      <c r="AC207" s="168"/>
      <c r="AD207" s="168"/>
      <c r="AE207" s="168"/>
    </row>
    <row r="208" spans="1:256" s="164" customFormat="1" ht="14.25" x14ac:dyDescent="0.2">
      <c r="A208" s="140">
        <v>20</v>
      </c>
      <c r="B208" s="156"/>
      <c r="C208" s="157"/>
      <c r="D208" s="158" t="s">
        <v>147</v>
      </c>
      <c r="E208" s="158"/>
      <c r="F208" s="159"/>
      <c r="G208" s="160"/>
      <c r="H208" s="160"/>
      <c r="I208" s="161"/>
      <c r="J208" s="162"/>
      <c r="K208" s="162"/>
      <c r="L208" s="162"/>
      <c r="M208" s="162"/>
      <c r="N208" s="162"/>
      <c r="O208" s="162"/>
      <c r="P208" s="162"/>
      <c r="Q208" s="162"/>
      <c r="R208" s="162"/>
      <c r="S208" s="162"/>
      <c r="T208" s="162"/>
      <c r="U208" s="162"/>
      <c r="V208" s="162"/>
      <c r="W208" s="162"/>
      <c r="X208" s="163"/>
      <c r="Y208" s="140"/>
      <c r="Z208" s="156"/>
      <c r="AA208" s="157"/>
      <c r="AB208" s="158"/>
      <c r="AC208" s="158"/>
      <c r="AD208" s="159"/>
      <c r="AE208" s="160"/>
      <c r="AF208" s="160"/>
      <c r="AG208" s="162"/>
      <c r="AH208" s="162"/>
      <c r="AI208" s="162"/>
      <c r="AJ208" s="162"/>
      <c r="AK208" s="162"/>
      <c r="AL208" s="162"/>
      <c r="AM208" s="162"/>
      <c r="AN208" s="162"/>
      <c r="AO208" s="162"/>
      <c r="AP208" s="162"/>
      <c r="AQ208" s="162"/>
      <c r="AR208" s="162"/>
      <c r="AS208" s="162"/>
      <c r="AT208" s="162"/>
      <c r="AU208" s="162"/>
      <c r="AV208" s="163"/>
      <c r="AW208" s="140"/>
      <c r="AX208" s="156"/>
      <c r="AY208" s="157"/>
      <c r="AZ208" s="158"/>
      <c r="BA208" s="158"/>
      <c r="BB208" s="159"/>
      <c r="BC208" s="160"/>
      <c r="BD208" s="160"/>
      <c r="BE208" s="162"/>
      <c r="BF208" s="162"/>
      <c r="BG208" s="162"/>
      <c r="BH208" s="162"/>
      <c r="BI208" s="162"/>
      <c r="BJ208" s="162"/>
      <c r="BK208" s="162"/>
      <c r="BL208" s="162"/>
      <c r="BM208" s="162"/>
      <c r="BN208" s="162"/>
      <c r="BO208" s="162"/>
      <c r="BP208" s="162"/>
      <c r="BQ208" s="162"/>
      <c r="BR208" s="162"/>
      <c r="BS208" s="162"/>
      <c r="BT208" s="163"/>
      <c r="BU208" s="140"/>
      <c r="BV208" s="156"/>
      <c r="BW208" s="157"/>
      <c r="BX208" s="158"/>
      <c r="BY208" s="158"/>
      <c r="BZ208" s="159"/>
      <c r="CA208" s="160"/>
      <c r="CB208" s="160"/>
      <c r="CC208" s="162"/>
      <c r="CD208" s="162"/>
      <c r="CE208" s="162"/>
      <c r="CF208" s="162"/>
      <c r="CG208" s="162"/>
      <c r="CH208" s="162"/>
      <c r="CI208" s="162"/>
      <c r="CJ208" s="162"/>
      <c r="CK208" s="162"/>
      <c r="CL208" s="162"/>
      <c r="CM208" s="162"/>
      <c r="CN208" s="162"/>
      <c r="CO208" s="162"/>
      <c r="CP208" s="162"/>
      <c r="CQ208" s="162"/>
      <c r="CR208" s="163"/>
      <c r="CS208" s="140"/>
      <c r="CT208" s="156"/>
      <c r="CU208" s="157"/>
      <c r="CV208" s="158"/>
      <c r="CW208" s="158"/>
      <c r="CX208" s="159"/>
      <c r="CY208" s="160"/>
      <c r="CZ208" s="160"/>
      <c r="DA208" s="162"/>
      <c r="DB208" s="162"/>
      <c r="DC208" s="162"/>
      <c r="DD208" s="162"/>
      <c r="DE208" s="162"/>
      <c r="DF208" s="162"/>
      <c r="DG208" s="162"/>
      <c r="DH208" s="162"/>
      <c r="DI208" s="162"/>
      <c r="DJ208" s="162"/>
      <c r="DK208" s="162"/>
      <c r="DL208" s="162"/>
      <c r="DM208" s="162"/>
      <c r="DN208" s="162"/>
      <c r="DO208" s="162"/>
      <c r="DP208" s="163"/>
      <c r="DQ208" s="140"/>
      <c r="DR208" s="156"/>
      <c r="DS208" s="157"/>
      <c r="DT208" s="158"/>
      <c r="DU208" s="158"/>
      <c r="DV208" s="159"/>
      <c r="DW208" s="160"/>
      <c r="DX208" s="160"/>
      <c r="DY208" s="162"/>
      <c r="DZ208" s="162"/>
      <c r="EA208" s="162"/>
      <c r="EB208" s="162"/>
      <c r="EC208" s="162"/>
      <c r="ED208" s="162"/>
      <c r="EE208" s="162"/>
      <c r="EF208" s="162"/>
      <c r="EG208" s="162"/>
      <c r="EH208" s="162"/>
      <c r="EI208" s="162"/>
      <c r="EJ208" s="162"/>
      <c r="EK208" s="162"/>
      <c r="EL208" s="162"/>
      <c r="EM208" s="162"/>
      <c r="EN208" s="163"/>
      <c r="EO208" s="140"/>
      <c r="EP208" s="156"/>
      <c r="EQ208" s="157"/>
      <c r="ER208" s="158"/>
      <c r="ES208" s="158"/>
      <c r="ET208" s="159"/>
      <c r="EU208" s="160"/>
      <c r="EV208" s="160"/>
      <c r="EW208" s="162"/>
      <c r="EX208" s="162"/>
      <c r="EY208" s="162"/>
      <c r="EZ208" s="162"/>
      <c r="FA208" s="162"/>
      <c r="FB208" s="162"/>
      <c r="FC208" s="162"/>
      <c r="FD208" s="162"/>
      <c r="FE208" s="162"/>
      <c r="FF208" s="162"/>
      <c r="FG208" s="162"/>
      <c r="FH208" s="162"/>
      <c r="FI208" s="162"/>
      <c r="FJ208" s="162"/>
      <c r="FK208" s="162"/>
      <c r="FL208" s="163"/>
      <c r="FM208" s="140"/>
      <c r="FN208" s="156"/>
      <c r="FO208" s="157"/>
      <c r="FP208" s="158"/>
      <c r="FQ208" s="158"/>
      <c r="FR208" s="159"/>
      <c r="FS208" s="160"/>
      <c r="FT208" s="160"/>
      <c r="FU208" s="162"/>
      <c r="FV208" s="162"/>
      <c r="FW208" s="162"/>
      <c r="FX208" s="162"/>
      <c r="FY208" s="162"/>
      <c r="FZ208" s="162"/>
      <c r="GA208" s="162"/>
      <c r="GB208" s="162"/>
      <c r="GC208" s="162"/>
      <c r="GD208" s="162"/>
      <c r="GE208" s="162"/>
      <c r="GF208" s="162"/>
      <c r="GG208" s="162"/>
      <c r="GH208" s="162"/>
      <c r="GI208" s="162"/>
      <c r="GJ208" s="163"/>
      <c r="GK208" s="140"/>
      <c r="GL208" s="156"/>
      <c r="GM208" s="157"/>
      <c r="GN208" s="158"/>
      <c r="GO208" s="158"/>
      <c r="GP208" s="159"/>
      <c r="GQ208" s="160"/>
      <c r="GR208" s="160"/>
      <c r="GS208" s="162"/>
      <c r="GT208" s="162"/>
      <c r="GU208" s="162"/>
      <c r="GV208" s="162"/>
      <c r="GW208" s="162"/>
      <c r="GX208" s="162"/>
      <c r="GY208" s="162"/>
      <c r="GZ208" s="162"/>
      <c r="HA208" s="162"/>
      <c r="HB208" s="162"/>
      <c r="HC208" s="162"/>
      <c r="HD208" s="162"/>
      <c r="HE208" s="162"/>
      <c r="HF208" s="162"/>
      <c r="HG208" s="162"/>
      <c r="HH208" s="163"/>
      <c r="HI208" s="140"/>
      <c r="HJ208" s="156"/>
      <c r="HK208" s="157"/>
      <c r="HL208" s="158"/>
      <c r="HM208" s="158"/>
      <c r="HN208" s="159"/>
      <c r="HO208" s="160"/>
      <c r="HP208" s="160"/>
      <c r="HQ208" s="162"/>
      <c r="HR208" s="162"/>
      <c r="HS208" s="162"/>
      <c r="HT208" s="162"/>
      <c r="HU208" s="162"/>
      <c r="HV208" s="162"/>
      <c r="HW208" s="162"/>
      <c r="HX208" s="162"/>
      <c r="HY208" s="162"/>
      <c r="HZ208" s="162"/>
      <c r="IA208" s="162"/>
      <c r="IB208" s="162"/>
      <c r="IC208" s="162"/>
      <c r="ID208" s="162"/>
      <c r="IE208" s="162"/>
      <c r="IF208" s="163"/>
      <c r="IG208" s="140"/>
      <c r="IH208" s="156"/>
      <c r="II208" s="157"/>
      <c r="IJ208" s="158"/>
      <c r="IK208" s="158"/>
      <c r="IL208" s="159"/>
      <c r="IM208" s="160"/>
      <c r="IN208" s="160"/>
      <c r="IO208" s="162"/>
      <c r="IP208" s="162"/>
      <c r="IQ208" s="162"/>
      <c r="IR208" s="162"/>
      <c r="IS208" s="162"/>
      <c r="IT208" s="162"/>
      <c r="IU208" s="162"/>
      <c r="IV208" s="162"/>
    </row>
    <row r="209" spans="1:256" s="141" customFormat="1" x14ac:dyDescent="0.25">
      <c r="A209" s="138">
        <v>20.100000000000001</v>
      </c>
      <c r="B209" s="165" t="s">
        <v>428</v>
      </c>
      <c r="C209" s="110">
        <v>3320000</v>
      </c>
      <c r="D209" s="201" t="s">
        <v>148</v>
      </c>
      <c r="E209" s="201"/>
      <c r="F209" s="110">
        <v>796</v>
      </c>
      <c r="G209" s="81" t="s">
        <v>17</v>
      </c>
      <c r="H209" s="81">
        <v>15</v>
      </c>
      <c r="I209" s="151">
        <v>98401</v>
      </c>
      <c r="J209" s="83" t="s">
        <v>429</v>
      </c>
      <c r="K209" s="83">
        <v>300000</v>
      </c>
      <c r="L209" s="83"/>
      <c r="M209" s="83"/>
      <c r="N209" s="83"/>
      <c r="O209" s="83"/>
      <c r="P209" s="83"/>
      <c r="Q209" s="83"/>
      <c r="R209" s="83">
        <v>15</v>
      </c>
      <c r="S209" s="83">
        <v>300000</v>
      </c>
      <c r="T209" s="83"/>
      <c r="U209" s="83"/>
      <c r="V209" s="83"/>
      <c r="W209" s="83"/>
      <c r="X209" s="167"/>
      <c r="Y209" s="168"/>
      <c r="Z209" s="168"/>
      <c r="AA209" s="168"/>
      <c r="AB209" s="168"/>
      <c r="AC209" s="168"/>
      <c r="AD209" s="168"/>
      <c r="AE209" s="168"/>
    </row>
    <row r="210" spans="1:256" s="141" customFormat="1" x14ac:dyDescent="0.25">
      <c r="A210" s="138">
        <v>20.2</v>
      </c>
      <c r="B210" s="165"/>
      <c r="C210" s="110"/>
      <c r="D210" s="201" t="s">
        <v>149</v>
      </c>
      <c r="E210" s="201"/>
      <c r="F210" s="110">
        <v>796</v>
      </c>
      <c r="G210" s="81" t="s">
        <v>17</v>
      </c>
      <c r="H210" s="81">
        <v>1</v>
      </c>
      <c r="I210" s="151">
        <v>98401</v>
      </c>
      <c r="J210" s="83" t="s">
        <v>429</v>
      </c>
      <c r="K210" s="83">
        <v>815650</v>
      </c>
      <c r="L210" s="83"/>
      <c r="M210" s="83"/>
      <c r="N210" s="83"/>
      <c r="O210" s="83"/>
      <c r="P210" s="83"/>
      <c r="Q210" s="83"/>
      <c r="R210" s="83">
        <v>1</v>
      </c>
      <c r="S210" s="83">
        <v>815650</v>
      </c>
      <c r="T210" s="83"/>
      <c r="U210" s="83"/>
      <c r="V210" s="83"/>
      <c r="W210" s="83"/>
      <c r="X210" s="167"/>
      <c r="Y210" s="168"/>
      <c r="Z210" s="168"/>
      <c r="AA210" s="168"/>
      <c r="AB210" s="168"/>
      <c r="AC210" s="168"/>
      <c r="AD210" s="168"/>
      <c r="AE210" s="168"/>
    </row>
    <row r="211" spans="1:256" s="141" customFormat="1" ht="45" x14ac:dyDescent="0.25">
      <c r="A211" s="138">
        <v>20.3</v>
      </c>
      <c r="B211" s="165" t="s">
        <v>428</v>
      </c>
      <c r="C211" s="110">
        <v>3320000</v>
      </c>
      <c r="D211" s="201" t="s">
        <v>150</v>
      </c>
      <c r="E211" s="201"/>
      <c r="F211" s="110">
        <v>796</v>
      </c>
      <c r="G211" s="81" t="s">
        <v>17</v>
      </c>
      <c r="H211" s="81">
        <v>3</v>
      </c>
      <c r="I211" s="151">
        <v>98401</v>
      </c>
      <c r="J211" s="83" t="s">
        <v>429</v>
      </c>
      <c r="K211" s="83">
        <v>1932000</v>
      </c>
      <c r="L211" s="83"/>
      <c r="M211" s="83"/>
      <c r="N211" s="83"/>
      <c r="O211" s="83"/>
      <c r="P211" s="83"/>
      <c r="Q211" s="83"/>
      <c r="R211" s="83">
        <v>1</v>
      </c>
      <c r="S211" s="83">
        <v>322000</v>
      </c>
      <c r="T211" s="83"/>
      <c r="U211" s="83"/>
      <c r="V211" s="83">
        <v>5</v>
      </c>
      <c r="W211" s="83">
        <v>1610000</v>
      </c>
      <c r="X211" s="167"/>
      <c r="Y211" s="168"/>
      <c r="Z211" s="168"/>
      <c r="AA211" s="168"/>
      <c r="AB211" s="168"/>
      <c r="AC211" s="168"/>
      <c r="AD211" s="168"/>
      <c r="AE211" s="168"/>
    </row>
    <row r="212" spans="1:256" s="141" customFormat="1" x14ac:dyDescent="0.25">
      <c r="A212" s="138">
        <v>20.399999999999999</v>
      </c>
      <c r="B212" s="165" t="s">
        <v>421</v>
      </c>
      <c r="C212" s="110">
        <v>4520080</v>
      </c>
      <c r="D212" s="201" t="s">
        <v>151</v>
      </c>
      <c r="E212" s="201"/>
      <c r="F212" s="110">
        <v>796</v>
      </c>
      <c r="G212" s="81" t="s">
        <v>17</v>
      </c>
      <c r="H212" s="81">
        <v>3</v>
      </c>
      <c r="I212" s="151">
        <v>98401</v>
      </c>
      <c r="J212" s="83" t="s">
        <v>429</v>
      </c>
      <c r="K212" s="83">
        <v>280000</v>
      </c>
      <c r="L212" s="83"/>
      <c r="M212" s="83"/>
      <c r="N212" s="83"/>
      <c r="O212" s="83"/>
      <c r="P212" s="83"/>
      <c r="Q212" s="83"/>
      <c r="R212" s="83"/>
      <c r="S212" s="83"/>
      <c r="T212" s="83">
        <v>3</v>
      </c>
      <c r="U212" s="83">
        <v>280000</v>
      </c>
      <c r="V212" s="83"/>
      <c r="W212" s="83"/>
      <c r="X212" s="167"/>
      <c r="Y212" s="168"/>
      <c r="Z212" s="168"/>
      <c r="AA212" s="168"/>
      <c r="AB212" s="168"/>
      <c r="AC212" s="168"/>
      <c r="AD212" s="168"/>
      <c r="AE212" s="168"/>
    </row>
    <row r="213" spans="1:256" s="141" customFormat="1" x14ac:dyDescent="0.25">
      <c r="A213" s="138">
        <v>20.5</v>
      </c>
      <c r="B213" s="165" t="s">
        <v>415</v>
      </c>
      <c r="C213" s="110">
        <v>3410000</v>
      </c>
      <c r="D213" s="201" t="s">
        <v>152</v>
      </c>
      <c r="E213" s="201"/>
      <c r="F213" s="110">
        <v>796</v>
      </c>
      <c r="G213" s="81" t="s">
        <v>17</v>
      </c>
      <c r="H213" s="81">
        <v>1</v>
      </c>
      <c r="I213" s="151">
        <v>98401</v>
      </c>
      <c r="J213" s="83" t="s">
        <v>429</v>
      </c>
      <c r="K213" s="83">
        <v>550000</v>
      </c>
      <c r="L213" s="83"/>
      <c r="M213" s="83"/>
      <c r="N213" s="83"/>
      <c r="O213" s="83"/>
      <c r="P213" s="83"/>
      <c r="Q213" s="83"/>
      <c r="R213" s="83">
        <v>1</v>
      </c>
      <c r="S213" s="83">
        <v>550000</v>
      </c>
      <c r="T213" s="83"/>
      <c r="U213" s="83"/>
      <c r="V213" s="83"/>
      <c r="W213" s="83"/>
      <c r="X213" s="167"/>
      <c r="Y213" s="168"/>
      <c r="Z213" s="168"/>
      <c r="AA213" s="168"/>
      <c r="AB213" s="168"/>
      <c r="AC213" s="168"/>
      <c r="AD213" s="168"/>
      <c r="AE213" s="168"/>
    </row>
    <row r="214" spans="1:256" s="141" customFormat="1" x14ac:dyDescent="0.25">
      <c r="A214" s="138">
        <v>20.6</v>
      </c>
      <c r="B214" s="165" t="s">
        <v>415</v>
      </c>
      <c r="C214" s="110">
        <v>3410000</v>
      </c>
      <c r="D214" s="201" t="s">
        <v>153</v>
      </c>
      <c r="E214" s="201"/>
      <c r="F214" s="110">
        <v>796</v>
      </c>
      <c r="G214" s="81" t="s">
        <v>17</v>
      </c>
      <c r="H214" s="81">
        <v>1</v>
      </c>
      <c r="I214" s="151">
        <v>98401</v>
      </c>
      <c r="J214" s="83" t="s">
        <v>429</v>
      </c>
      <c r="K214" s="83">
        <v>3100000</v>
      </c>
      <c r="L214" s="83"/>
      <c r="M214" s="83"/>
      <c r="N214" s="83"/>
      <c r="O214" s="83"/>
      <c r="P214" s="83"/>
      <c r="Q214" s="83"/>
      <c r="R214" s="83"/>
      <c r="S214" s="83"/>
      <c r="T214" s="83"/>
      <c r="U214" s="83"/>
      <c r="V214" s="83">
        <v>1</v>
      </c>
      <c r="W214" s="83">
        <v>3100000</v>
      </c>
      <c r="X214" s="167"/>
      <c r="Y214" s="168"/>
      <c r="Z214" s="168"/>
      <c r="AA214" s="168"/>
      <c r="AB214" s="168"/>
      <c r="AC214" s="168"/>
      <c r="AD214" s="168"/>
      <c r="AE214" s="168"/>
    </row>
    <row r="215" spans="1:256" s="141" customFormat="1" x14ac:dyDescent="0.25">
      <c r="A215" s="138">
        <v>20.7</v>
      </c>
      <c r="B215" s="165" t="s">
        <v>415</v>
      </c>
      <c r="C215" s="110">
        <v>3410000</v>
      </c>
      <c r="D215" s="201" t="s">
        <v>154</v>
      </c>
      <c r="E215" s="201"/>
      <c r="F215" s="110">
        <v>796</v>
      </c>
      <c r="G215" s="81" t="s">
        <v>17</v>
      </c>
      <c r="H215" s="81">
        <v>1</v>
      </c>
      <c r="I215" s="151">
        <v>98401</v>
      </c>
      <c r="J215" s="83" t="s">
        <v>429</v>
      </c>
      <c r="K215" s="83">
        <v>2100000</v>
      </c>
      <c r="L215" s="83"/>
      <c r="M215" s="83"/>
      <c r="N215" s="83"/>
      <c r="O215" s="83"/>
      <c r="P215" s="83"/>
      <c r="Q215" s="83"/>
      <c r="R215" s="83"/>
      <c r="S215" s="83"/>
      <c r="T215" s="83"/>
      <c r="U215" s="83"/>
      <c r="V215" s="83">
        <v>1</v>
      </c>
      <c r="W215" s="83">
        <v>2100000</v>
      </c>
      <c r="X215" s="167"/>
      <c r="Y215" s="168"/>
      <c r="Z215" s="168"/>
      <c r="AA215" s="168"/>
      <c r="AB215" s="168"/>
      <c r="AC215" s="168"/>
      <c r="AD215" s="168"/>
      <c r="AE215" s="168"/>
    </row>
    <row r="216" spans="1:256" s="141" customFormat="1" x14ac:dyDescent="0.25">
      <c r="A216" s="138">
        <v>20.8</v>
      </c>
      <c r="B216" s="165"/>
      <c r="C216" s="110"/>
      <c r="D216" s="201" t="s">
        <v>363</v>
      </c>
      <c r="E216" s="201"/>
      <c r="F216" s="110">
        <v>796</v>
      </c>
      <c r="G216" s="81" t="s">
        <v>17</v>
      </c>
      <c r="H216" s="81">
        <v>1</v>
      </c>
      <c r="I216" s="151">
        <v>98401</v>
      </c>
      <c r="J216" s="83" t="s">
        <v>429</v>
      </c>
      <c r="K216" s="83">
        <v>2000000</v>
      </c>
      <c r="L216" s="83"/>
      <c r="M216" s="83"/>
      <c r="N216" s="83"/>
      <c r="O216" s="83"/>
      <c r="P216" s="83"/>
      <c r="Q216" s="83"/>
      <c r="R216" s="83"/>
      <c r="S216" s="83"/>
      <c r="T216" s="83"/>
      <c r="U216" s="83"/>
      <c r="V216" s="83">
        <v>1</v>
      </c>
      <c r="W216" s="83">
        <v>2000000</v>
      </c>
      <c r="X216" s="167"/>
      <c r="Y216" s="168"/>
      <c r="Z216" s="168"/>
      <c r="AA216" s="168"/>
      <c r="AB216" s="168"/>
      <c r="AC216" s="168"/>
      <c r="AD216" s="168"/>
      <c r="AE216" s="168"/>
    </row>
    <row r="217" spans="1:256" s="164" customFormat="1" ht="14.25" x14ac:dyDescent="0.2">
      <c r="A217" s="140">
        <v>21</v>
      </c>
      <c r="B217" s="156"/>
      <c r="C217" s="157"/>
      <c r="D217" s="158" t="s">
        <v>155</v>
      </c>
      <c r="E217" s="158"/>
      <c r="F217" s="159"/>
      <c r="G217" s="160"/>
      <c r="H217" s="160"/>
      <c r="I217" s="161"/>
      <c r="J217" s="162"/>
      <c r="K217" s="162"/>
      <c r="L217" s="162"/>
      <c r="M217" s="162"/>
      <c r="N217" s="162"/>
      <c r="O217" s="162"/>
      <c r="P217" s="162"/>
      <c r="Q217" s="162"/>
      <c r="R217" s="162"/>
      <c r="S217" s="162"/>
      <c r="T217" s="162"/>
      <c r="U217" s="162"/>
      <c r="V217" s="162"/>
      <c r="W217" s="162"/>
      <c r="X217" s="163"/>
      <c r="Y217" s="140"/>
      <c r="Z217" s="156"/>
      <c r="AA217" s="157"/>
      <c r="AB217" s="158"/>
      <c r="AC217" s="158"/>
      <c r="AD217" s="159"/>
      <c r="AE217" s="160"/>
      <c r="AF217" s="160"/>
      <c r="AG217" s="162"/>
      <c r="AH217" s="162"/>
      <c r="AI217" s="162"/>
      <c r="AJ217" s="162"/>
      <c r="AK217" s="162"/>
      <c r="AL217" s="162"/>
      <c r="AM217" s="162"/>
      <c r="AN217" s="162"/>
      <c r="AO217" s="162"/>
      <c r="AP217" s="162"/>
      <c r="AQ217" s="162"/>
      <c r="AR217" s="162"/>
      <c r="AS217" s="162"/>
      <c r="AT217" s="162"/>
      <c r="AU217" s="162"/>
      <c r="AV217" s="163"/>
      <c r="AW217" s="140"/>
      <c r="AX217" s="156"/>
      <c r="AY217" s="157"/>
      <c r="AZ217" s="158"/>
      <c r="BA217" s="158"/>
      <c r="BB217" s="159"/>
      <c r="BC217" s="160"/>
      <c r="BD217" s="160"/>
      <c r="BE217" s="162"/>
      <c r="BF217" s="162"/>
      <c r="BG217" s="162"/>
      <c r="BH217" s="162"/>
      <c r="BI217" s="162"/>
      <c r="BJ217" s="162"/>
      <c r="BK217" s="162"/>
      <c r="BL217" s="162"/>
      <c r="BM217" s="162"/>
      <c r="BN217" s="162"/>
      <c r="BO217" s="162"/>
      <c r="BP217" s="162"/>
      <c r="BQ217" s="162"/>
      <c r="BR217" s="162"/>
      <c r="BS217" s="162"/>
      <c r="BT217" s="163"/>
      <c r="BU217" s="140"/>
      <c r="BV217" s="156"/>
      <c r="BW217" s="157"/>
      <c r="BX217" s="158"/>
      <c r="BY217" s="158"/>
      <c r="BZ217" s="159"/>
      <c r="CA217" s="160"/>
      <c r="CB217" s="160"/>
      <c r="CC217" s="162"/>
      <c r="CD217" s="162"/>
      <c r="CE217" s="162"/>
      <c r="CF217" s="162"/>
      <c r="CG217" s="162"/>
      <c r="CH217" s="162"/>
      <c r="CI217" s="162"/>
      <c r="CJ217" s="162"/>
      <c r="CK217" s="162"/>
      <c r="CL217" s="162"/>
      <c r="CM217" s="162"/>
      <c r="CN217" s="162"/>
      <c r="CO217" s="162"/>
      <c r="CP217" s="162"/>
      <c r="CQ217" s="162"/>
      <c r="CR217" s="163"/>
      <c r="CS217" s="140"/>
      <c r="CT217" s="156"/>
      <c r="CU217" s="157"/>
      <c r="CV217" s="158"/>
      <c r="CW217" s="158"/>
      <c r="CX217" s="159"/>
      <c r="CY217" s="160"/>
      <c r="CZ217" s="160"/>
      <c r="DA217" s="162"/>
      <c r="DB217" s="162"/>
      <c r="DC217" s="162"/>
      <c r="DD217" s="162"/>
      <c r="DE217" s="162"/>
      <c r="DF217" s="162"/>
      <c r="DG217" s="162"/>
      <c r="DH217" s="162"/>
      <c r="DI217" s="162"/>
      <c r="DJ217" s="162"/>
      <c r="DK217" s="162"/>
      <c r="DL217" s="162"/>
      <c r="DM217" s="162"/>
      <c r="DN217" s="162"/>
      <c r="DO217" s="162"/>
      <c r="DP217" s="163"/>
      <c r="DQ217" s="140"/>
      <c r="DR217" s="156"/>
      <c r="DS217" s="157"/>
      <c r="DT217" s="158"/>
      <c r="DU217" s="158"/>
      <c r="DV217" s="159"/>
      <c r="DW217" s="160"/>
      <c r="DX217" s="160"/>
      <c r="DY217" s="162"/>
      <c r="DZ217" s="162"/>
      <c r="EA217" s="162"/>
      <c r="EB217" s="162"/>
      <c r="EC217" s="162"/>
      <c r="ED217" s="162"/>
      <c r="EE217" s="162"/>
      <c r="EF217" s="162"/>
      <c r="EG217" s="162"/>
      <c r="EH217" s="162"/>
      <c r="EI217" s="162"/>
      <c r="EJ217" s="162"/>
      <c r="EK217" s="162"/>
      <c r="EL217" s="162"/>
      <c r="EM217" s="162"/>
      <c r="EN217" s="163"/>
      <c r="EO217" s="140"/>
      <c r="EP217" s="156"/>
      <c r="EQ217" s="157"/>
      <c r="ER217" s="158"/>
      <c r="ES217" s="158"/>
      <c r="ET217" s="159"/>
      <c r="EU217" s="160"/>
      <c r="EV217" s="160"/>
      <c r="EW217" s="162"/>
      <c r="EX217" s="162"/>
      <c r="EY217" s="162"/>
      <c r="EZ217" s="162"/>
      <c r="FA217" s="162"/>
      <c r="FB217" s="162"/>
      <c r="FC217" s="162"/>
      <c r="FD217" s="162"/>
      <c r="FE217" s="162"/>
      <c r="FF217" s="162"/>
      <c r="FG217" s="162"/>
      <c r="FH217" s="162"/>
      <c r="FI217" s="162"/>
      <c r="FJ217" s="162"/>
      <c r="FK217" s="162"/>
      <c r="FL217" s="163"/>
      <c r="FM217" s="140"/>
      <c r="FN217" s="156"/>
      <c r="FO217" s="157"/>
      <c r="FP217" s="158"/>
      <c r="FQ217" s="158"/>
      <c r="FR217" s="159"/>
      <c r="FS217" s="160"/>
      <c r="FT217" s="160"/>
      <c r="FU217" s="162"/>
      <c r="FV217" s="162"/>
      <c r="FW217" s="162"/>
      <c r="FX217" s="162"/>
      <c r="FY217" s="162"/>
      <c r="FZ217" s="162"/>
      <c r="GA217" s="162"/>
      <c r="GB217" s="162"/>
      <c r="GC217" s="162"/>
      <c r="GD217" s="162"/>
      <c r="GE217" s="162"/>
      <c r="GF217" s="162"/>
      <c r="GG217" s="162"/>
      <c r="GH217" s="162"/>
      <c r="GI217" s="162"/>
      <c r="GJ217" s="163"/>
      <c r="GK217" s="140"/>
      <c r="GL217" s="156"/>
      <c r="GM217" s="157"/>
      <c r="GN217" s="158"/>
      <c r="GO217" s="158"/>
      <c r="GP217" s="159"/>
      <c r="GQ217" s="160"/>
      <c r="GR217" s="160"/>
      <c r="GS217" s="162"/>
      <c r="GT217" s="162"/>
      <c r="GU217" s="162"/>
      <c r="GV217" s="162"/>
      <c r="GW217" s="162"/>
      <c r="GX217" s="162"/>
      <c r="GY217" s="162"/>
      <c r="GZ217" s="162"/>
      <c r="HA217" s="162"/>
      <c r="HB217" s="162"/>
      <c r="HC217" s="162"/>
      <c r="HD217" s="162"/>
      <c r="HE217" s="162"/>
      <c r="HF217" s="162"/>
      <c r="HG217" s="162"/>
      <c r="HH217" s="163"/>
      <c r="HI217" s="140"/>
      <c r="HJ217" s="156"/>
      <c r="HK217" s="157"/>
      <c r="HL217" s="158"/>
      <c r="HM217" s="158"/>
      <c r="HN217" s="159"/>
      <c r="HO217" s="160"/>
      <c r="HP217" s="160"/>
      <c r="HQ217" s="162"/>
      <c r="HR217" s="162"/>
      <c r="HS217" s="162"/>
      <c r="HT217" s="162"/>
      <c r="HU217" s="162"/>
      <c r="HV217" s="162"/>
      <c r="HW217" s="162"/>
      <c r="HX217" s="162"/>
      <c r="HY217" s="162"/>
      <c r="HZ217" s="162"/>
      <c r="IA217" s="162"/>
      <c r="IB217" s="162"/>
      <c r="IC217" s="162"/>
      <c r="ID217" s="162"/>
      <c r="IE217" s="162"/>
      <c r="IF217" s="163"/>
      <c r="IG217" s="140"/>
      <c r="IH217" s="156"/>
      <c r="II217" s="157"/>
      <c r="IJ217" s="158"/>
      <c r="IK217" s="158"/>
      <c r="IL217" s="159"/>
      <c r="IM217" s="160"/>
      <c r="IN217" s="160"/>
      <c r="IO217" s="162"/>
      <c r="IP217" s="162"/>
      <c r="IQ217" s="162"/>
      <c r="IR217" s="162"/>
      <c r="IS217" s="162"/>
      <c r="IT217" s="162"/>
      <c r="IU217" s="162"/>
      <c r="IV217" s="162"/>
    </row>
    <row r="218" spans="1:256" s="141" customFormat="1" x14ac:dyDescent="0.25">
      <c r="A218" s="138">
        <v>21.1</v>
      </c>
      <c r="B218" s="165" t="s">
        <v>415</v>
      </c>
      <c r="C218" s="110">
        <v>3430000</v>
      </c>
      <c r="D218" s="80" t="s">
        <v>156</v>
      </c>
      <c r="E218" s="80"/>
      <c r="F218" s="110">
        <v>796</v>
      </c>
      <c r="G218" s="81" t="s">
        <v>24</v>
      </c>
      <c r="H218" s="129">
        <v>1</v>
      </c>
      <c r="I218" s="151">
        <v>98401</v>
      </c>
      <c r="J218" s="83" t="s">
        <v>429</v>
      </c>
      <c r="K218" s="27">
        <v>58746.5</v>
      </c>
      <c r="L218" s="135"/>
      <c r="M218" s="135"/>
      <c r="N218" s="135"/>
      <c r="O218" s="135"/>
      <c r="P218" s="82"/>
      <c r="Q218" s="27"/>
      <c r="R218" s="83"/>
      <c r="S218" s="191"/>
      <c r="T218" s="83"/>
      <c r="U218" s="27">
        <v>28746.5</v>
      </c>
      <c r="V218" s="24"/>
      <c r="W218" s="24">
        <v>30000</v>
      </c>
      <c r="X218" s="26"/>
      <c r="Y218" s="168"/>
      <c r="Z218" s="168"/>
      <c r="AA218" s="168"/>
      <c r="AB218" s="168"/>
      <c r="AC218" s="168"/>
      <c r="AD218" s="168"/>
      <c r="AE218" s="168"/>
    </row>
    <row r="219" spans="1:256" s="141" customFormat="1" x14ac:dyDescent="0.25">
      <c r="A219" s="138">
        <v>21.2</v>
      </c>
      <c r="B219" s="165" t="s">
        <v>415</v>
      </c>
      <c r="C219" s="110">
        <v>3430000</v>
      </c>
      <c r="D219" s="80" t="s">
        <v>157</v>
      </c>
      <c r="E219" s="80"/>
      <c r="F219" s="110">
        <v>796</v>
      </c>
      <c r="G219" s="81" t="s">
        <v>24</v>
      </c>
      <c r="H219" s="129">
        <v>1</v>
      </c>
      <c r="I219" s="151">
        <v>98401</v>
      </c>
      <c r="J219" s="83" t="s">
        <v>429</v>
      </c>
      <c r="K219" s="26">
        <v>160780</v>
      </c>
      <c r="L219" s="133"/>
      <c r="M219" s="133"/>
      <c r="N219" s="133"/>
      <c r="O219" s="133"/>
      <c r="P219" s="82"/>
      <c r="Q219" s="26">
        <v>89580</v>
      </c>
      <c r="R219" s="83"/>
      <c r="S219" s="27"/>
      <c r="T219" s="83"/>
      <c r="U219" s="27">
        <v>36200</v>
      </c>
      <c r="V219" s="24"/>
      <c r="W219" s="24">
        <v>35000</v>
      </c>
      <c r="X219" s="26"/>
      <c r="Y219" s="168"/>
      <c r="Z219" s="168"/>
      <c r="AA219" s="168"/>
      <c r="AB219" s="168"/>
      <c r="AC219" s="168"/>
      <c r="AD219" s="168"/>
      <c r="AE219" s="168"/>
    </row>
    <row r="220" spans="1:256" s="141" customFormat="1" x14ac:dyDescent="0.25">
      <c r="A220" s="138">
        <v>21.3</v>
      </c>
      <c r="B220" s="165" t="s">
        <v>416</v>
      </c>
      <c r="C220" s="110">
        <v>3430000</v>
      </c>
      <c r="D220" s="80" t="s">
        <v>158</v>
      </c>
      <c r="E220" s="80"/>
      <c r="F220" s="110">
        <v>796</v>
      </c>
      <c r="G220" s="81" t="s">
        <v>24</v>
      </c>
      <c r="H220" s="129">
        <v>2</v>
      </c>
      <c r="I220" s="151">
        <v>98401</v>
      </c>
      <c r="J220" s="83" t="s">
        <v>429</v>
      </c>
      <c r="K220" s="26">
        <v>229920</v>
      </c>
      <c r="L220" s="133"/>
      <c r="M220" s="133"/>
      <c r="N220" s="133"/>
      <c r="O220" s="133"/>
      <c r="P220" s="82"/>
      <c r="Q220" s="26">
        <v>100000</v>
      </c>
      <c r="R220" s="83"/>
      <c r="S220" s="26">
        <v>100000</v>
      </c>
      <c r="T220" s="83"/>
      <c r="U220" s="26">
        <v>4920</v>
      </c>
      <c r="V220" s="24"/>
      <c r="W220" s="24">
        <v>25000</v>
      </c>
      <c r="X220" s="26"/>
      <c r="Y220" s="168"/>
      <c r="Z220" s="168"/>
      <c r="AA220" s="168"/>
      <c r="AB220" s="168"/>
      <c r="AC220" s="168"/>
      <c r="AD220" s="168"/>
      <c r="AE220" s="168"/>
    </row>
    <row r="221" spans="1:256" s="141" customFormat="1" x14ac:dyDescent="0.25">
      <c r="A221" s="138">
        <v>21.4</v>
      </c>
      <c r="B221" s="165" t="s">
        <v>416</v>
      </c>
      <c r="C221" s="110">
        <v>3430000</v>
      </c>
      <c r="D221" s="80" t="s">
        <v>331</v>
      </c>
      <c r="E221" s="80"/>
      <c r="F221" s="110">
        <v>796</v>
      </c>
      <c r="G221" s="81" t="s">
        <v>17</v>
      </c>
      <c r="H221" s="129">
        <v>10</v>
      </c>
      <c r="I221" s="151">
        <v>98401</v>
      </c>
      <c r="J221" s="83" t="s">
        <v>429</v>
      </c>
      <c r="K221" s="26">
        <v>93515</v>
      </c>
      <c r="L221" s="133"/>
      <c r="M221" s="133"/>
      <c r="N221" s="133"/>
      <c r="O221" s="133"/>
      <c r="P221" s="82"/>
      <c r="Q221" s="26"/>
      <c r="R221" s="83"/>
      <c r="S221" s="26"/>
      <c r="T221" s="83"/>
      <c r="U221" s="26">
        <v>68515</v>
      </c>
      <c r="V221" s="24"/>
      <c r="W221" s="66">
        <v>25000</v>
      </c>
      <c r="X221" s="26"/>
      <c r="Y221" s="168"/>
      <c r="Z221" s="168"/>
      <c r="AA221" s="168"/>
      <c r="AB221" s="168"/>
      <c r="AC221" s="168"/>
      <c r="AD221" s="168"/>
      <c r="AE221" s="168"/>
    </row>
    <row r="222" spans="1:256" s="164" customFormat="1" ht="14.25" x14ac:dyDescent="0.2">
      <c r="A222" s="140">
        <v>22</v>
      </c>
      <c r="B222" s="156"/>
      <c r="C222" s="157"/>
      <c r="D222" s="158" t="s">
        <v>159</v>
      </c>
      <c r="E222" s="158"/>
      <c r="F222" s="159"/>
      <c r="G222" s="160"/>
      <c r="H222" s="160"/>
      <c r="I222" s="161"/>
      <c r="J222" s="162"/>
      <c r="K222" s="162"/>
      <c r="L222" s="162"/>
      <c r="M222" s="162"/>
      <c r="N222" s="162"/>
      <c r="O222" s="162"/>
      <c r="P222" s="162"/>
      <c r="Q222" s="162"/>
      <c r="R222" s="162"/>
      <c r="S222" s="162"/>
      <c r="T222" s="162"/>
      <c r="U222" s="162"/>
      <c r="V222" s="162"/>
      <c r="W222" s="162"/>
      <c r="X222" s="163"/>
      <c r="Y222" s="140"/>
      <c r="Z222" s="156"/>
      <c r="AA222" s="157"/>
      <c r="AB222" s="158"/>
      <c r="AC222" s="158"/>
      <c r="AD222" s="159"/>
      <c r="AE222" s="160"/>
      <c r="AF222" s="160"/>
      <c r="AG222" s="162"/>
      <c r="AH222" s="162"/>
      <c r="AI222" s="162"/>
      <c r="AJ222" s="162"/>
      <c r="AK222" s="162"/>
      <c r="AL222" s="162"/>
      <c r="AM222" s="162"/>
      <c r="AN222" s="162"/>
      <c r="AO222" s="162"/>
      <c r="AP222" s="162"/>
      <c r="AQ222" s="162"/>
      <c r="AR222" s="162"/>
      <c r="AS222" s="162"/>
      <c r="AT222" s="162"/>
      <c r="AU222" s="162"/>
      <c r="AV222" s="163"/>
      <c r="AW222" s="140"/>
      <c r="AX222" s="156"/>
      <c r="AY222" s="157"/>
      <c r="AZ222" s="158"/>
      <c r="BA222" s="158"/>
      <c r="BB222" s="159"/>
      <c r="BC222" s="160"/>
      <c r="BD222" s="160"/>
      <c r="BE222" s="162"/>
      <c r="BF222" s="162"/>
      <c r="BG222" s="162"/>
      <c r="BH222" s="162"/>
      <c r="BI222" s="162"/>
      <c r="BJ222" s="162"/>
      <c r="BK222" s="162"/>
      <c r="BL222" s="162"/>
      <c r="BM222" s="162"/>
      <c r="BN222" s="162"/>
      <c r="BO222" s="162"/>
      <c r="BP222" s="162"/>
      <c r="BQ222" s="162"/>
      <c r="BR222" s="162"/>
      <c r="BS222" s="162"/>
      <c r="BT222" s="163"/>
      <c r="BU222" s="140"/>
      <c r="BV222" s="156"/>
      <c r="BW222" s="157"/>
      <c r="BX222" s="158"/>
      <c r="BY222" s="158"/>
      <c r="BZ222" s="159"/>
      <c r="CA222" s="160"/>
      <c r="CB222" s="160"/>
      <c r="CC222" s="162"/>
      <c r="CD222" s="162"/>
      <c r="CE222" s="162"/>
      <c r="CF222" s="162"/>
      <c r="CG222" s="162"/>
      <c r="CH222" s="162"/>
      <c r="CI222" s="162"/>
      <c r="CJ222" s="162"/>
      <c r="CK222" s="162"/>
      <c r="CL222" s="162"/>
      <c r="CM222" s="162"/>
      <c r="CN222" s="162"/>
      <c r="CO222" s="162"/>
      <c r="CP222" s="162"/>
      <c r="CQ222" s="162"/>
      <c r="CR222" s="163"/>
      <c r="CS222" s="140"/>
      <c r="CT222" s="156"/>
      <c r="CU222" s="157"/>
      <c r="CV222" s="158"/>
      <c r="CW222" s="158"/>
      <c r="CX222" s="159"/>
      <c r="CY222" s="160"/>
      <c r="CZ222" s="160"/>
      <c r="DA222" s="162"/>
      <c r="DB222" s="162"/>
      <c r="DC222" s="162"/>
      <c r="DD222" s="162"/>
      <c r="DE222" s="162"/>
      <c r="DF222" s="162"/>
      <c r="DG222" s="162"/>
      <c r="DH222" s="162"/>
      <c r="DI222" s="162"/>
      <c r="DJ222" s="162"/>
      <c r="DK222" s="162"/>
      <c r="DL222" s="162"/>
      <c r="DM222" s="162"/>
      <c r="DN222" s="162"/>
      <c r="DO222" s="162"/>
      <c r="DP222" s="163"/>
      <c r="DQ222" s="140"/>
      <c r="DR222" s="156"/>
      <c r="DS222" s="157"/>
      <c r="DT222" s="158"/>
      <c r="DU222" s="158"/>
      <c r="DV222" s="159"/>
      <c r="DW222" s="160"/>
      <c r="DX222" s="160"/>
      <c r="DY222" s="162"/>
      <c r="DZ222" s="162"/>
      <c r="EA222" s="162"/>
      <c r="EB222" s="162"/>
      <c r="EC222" s="162"/>
      <c r="ED222" s="162"/>
      <c r="EE222" s="162"/>
      <c r="EF222" s="162"/>
      <c r="EG222" s="162"/>
      <c r="EH222" s="162"/>
      <c r="EI222" s="162"/>
      <c r="EJ222" s="162"/>
      <c r="EK222" s="162"/>
      <c r="EL222" s="162"/>
      <c r="EM222" s="162"/>
      <c r="EN222" s="163"/>
      <c r="EO222" s="140"/>
      <c r="EP222" s="156"/>
      <c r="EQ222" s="157"/>
      <c r="ER222" s="158"/>
      <c r="ES222" s="158"/>
      <c r="ET222" s="159"/>
      <c r="EU222" s="160"/>
      <c r="EV222" s="160"/>
      <c r="EW222" s="162"/>
      <c r="EX222" s="162"/>
      <c r="EY222" s="162"/>
      <c r="EZ222" s="162"/>
      <c r="FA222" s="162"/>
      <c r="FB222" s="162"/>
      <c r="FC222" s="162"/>
      <c r="FD222" s="162"/>
      <c r="FE222" s="162"/>
      <c r="FF222" s="162"/>
      <c r="FG222" s="162"/>
      <c r="FH222" s="162"/>
      <c r="FI222" s="162"/>
      <c r="FJ222" s="162"/>
      <c r="FK222" s="162"/>
      <c r="FL222" s="163"/>
      <c r="FM222" s="140"/>
      <c r="FN222" s="156"/>
      <c r="FO222" s="157"/>
      <c r="FP222" s="158"/>
      <c r="FQ222" s="158"/>
      <c r="FR222" s="159"/>
      <c r="FS222" s="160"/>
      <c r="FT222" s="160"/>
      <c r="FU222" s="162"/>
      <c r="FV222" s="162"/>
      <c r="FW222" s="162"/>
      <c r="FX222" s="162"/>
      <c r="FY222" s="162"/>
      <c r="FZ222" s="162"/>
      <c r="GA222" s="162"/>
      <c r="GB222" s="162"/>
      <c r="GC222" s="162"/>
      <c r="GD222" s="162"/>
      <c r="GE222" s="162"/>
      <c r="GF222" s="162"/>
      <c r="GG222" s="162"/>
      <c r="GH222" s="162"/>
      <c r="GI222" s="162"/>
      <c r="GJ222" s="163"/>
      <c r="GK222" s="140"/>
      <c r="GL222" s="156"/>
      <c r="GM222" s="157"/>
      <c r="GN222" s="158"/>
      <c r="GO222" s="158"/>
      <c r="GP222" s="159"/>
      <c r="GQ222" s="160"/>
      <c r="GR222" s="160"/>
      <c r="GS222" s="162"/>
      <c r="GT222" s="162"/>
      <c r="GU222" s="162"/>
      <c r="GV222" s="162"/>
      <c r="GW222" s="162"/>
      <c r="GX222" s="162"/>
      <c r="GY222" s="162"/>
      <c r="GZ222" s="162"/>
      <c r="HA222" s="162"/>
      <c r="HB222" s="162"/>
      <c r="HC222" s="162"/>
      <c r="HD222" s="162"/>
      <c r="HE222" s="162"/>
      <c r="HF222" s="162"/>
      <c r="HG222" s="162"/>
      <c r="HH222" s="163"/>
      <c r="HI222" s="140"/>
      <c r="HJ222" s="156"/>
      <c r="HK222" s="157"/>
      <c r="HL222" s="158"/>
      <c r="HM222" s="158"/>
      <c r="HN222" s="159"/>
      <c r="HO222" s="160"/>
      <c r="HP222" s="160"/>
      <c r="HQ222" s="162"/>
      <c r="HR222" s="162"/>
      <c r="HS222" s="162"/>
      <c r="HT222" s="162"/>
      <c r="HU222" s="162"/>
      <c r="HV222" s="162"/>
      <c r="HW222" s="162"/>
      <c r="HX222" s="162"/>
      <c r="HY222" s="162"/>
      <c r="HZ222" s="162"/>
      <c r="IA222" s="162"/>
      <c r="IB222" s="162"/>
      <c r="IC222" s="162"/>
      <c r="ID222" s="162"/>
      <c r="IE222" s="162"/>
      <c r="IF222" s="163"/>
      <c r="IG222" s="140"/>
      <c r="IH222" s="156"/>
      <c r="II222" s="157"/>
      <c r="IJ222" s="158"/>
      <c r="IK222" s="158"/>
      <c r="IL222" s="159"/>
      <c r="IM222" s="160"/>
      <c r="IN222" s="160"/>
      <c r="IO222" s="162"/>
      <c r="IP222" s="162"/>
      <c r="IQ222" s="162"/>
      <c r="IR222" s="162"/>
      <c r="IS222" s="162"/>
      <c r="IT222" s="162"/>
      <c r="IU222" s="162"/>
      <c r="IV222" s="162"/>
    </row>
    <row r="223" spans="1:256" s="141" customFormat="1" x14ac:dyDescent="0.25">
      <c r="A223" s="138">
        <v>22.1</v>
      </c>
      <c r="B223" s="165" t="s">
        <v>416</v>
      </c>
      <c r="C223" s="110">
        <v>5020020</v>
      </c>
      <c r="D223" s="80" t="s">
        <v>160</v>
      </c>
      <c r="E223" s="80"/>
      <c r="F223" s="110">
        <v>796</v>
      </c>
      <c r="G223" s="81" t="s">
        <v>24</v>
      </c>
      <c r="H223" s="129">
        <v>1</v>
      </c>
      <c r="I223" s="151">
        <v>98401</v>
      </c>
      <c r="J223" s="83" t="s">
        <v>429</v>
      </c>
      <c r="K223" s="27">
        <v>100000</v>
      </c>
      <c r="L223" s="135"/>
      <c r="M223" s="135"/>
      <c r="N223" s="135"/>
      <c r="O223" s="135"/>
      <c r="P223" s="82"/>
      <c r="Q223" s="27"/>
      <c r="R223" s="83"/>
      <c r="S223" s="191"/>
      <c r="T223" s="83">
        <v>1</v>
      </c>
      <c r="U223" s="27">
        <v>100000</v>
      </c>
      <c r="V223" s="24"/>
      <c r="W223" s="24"/>
      <c r="X223" s="26"/>
      <c r="Y223" s="168"/>
      <c r="Z223" s="168"/>
      <c r="AA223" s="168"/>
      <c r="AB223" s="168"/>
      <c r="AC223" s="168"/>
      <c r="AD223" s="168"/>
      <c r="AE223" s="168"/>
    </row>
    <row r="224" spans="1:256" s="141" customFormat="1" x14ac:dyDescent="0.25">
      <c r="A224" s="138">
        <v>22.2</v>
      </c>
      <c r="B224" s="165" t="s">
        <v>416</v>
      </c>
      <c r="C224" s="110">
        <v>5020020</v>
      </c>
      <c r="D224" s="80" t="s">
        <v>161</v>
      </c>
      <c r="E224" s="80"/>
      <c r="F224" s="110">
        <v>796</v>
      </c>
      <c r="G224" s="81" t="s">
        <v>24</v>
      </c>
      <c r="H224" s="129">
        <v>1</v>
      </c>
      <c r="I224" s="151">
        <v>98401</v>
      </c>
      <c r="J224" s="83" t="s">
        <v>429</v>
      </c>
      <c r="K224" s="26">
        <v>70000</v>
      </c>
      <c r="L224" s="133"/>
      <c r="M224" s="133"/>
      <c r="N224" s="133"/>
      <c r="O224" s="133"/>
      <c r="P224" s="82">
        <v>1</v>
      </c>
      <c r="Q224" s="26">
        <v>70000</v>
      </c>
      <c r="R224" s="83"/>
      <c r="S224" s="27"/>
      <c r="T224" s="83"/>
      <c r="U224" s="27"/>
      <c r="V224" s="24"/>
      <c r="W224" s="24"/>
      <c r="X224" s="26"/>
      <c r="Y224" s="168"/>
      <c r="Z224" s="168"/>
      <c r="AA224" s="168"/>
      <c r="AB224" s="168"/>
      <c r="AC224" s="168"/>
      <c r="AD224" s="168"/>
      <c r="AE224" s="168"/>
    </row>
    <row r="225" spans="1:256" s="141" customFormat="1" x14ac:dyDescent="0.25">
      <c r="A225" s="138">
        <v>22.3</v>
      </c>
      <c r="B225" s="165" t="s">
        <v>416</v>
      </c>
      <c r="C225" s="110"/>
      <c r="D225" s="80" t="s">
        <v>162</v>
      </c>
      <c r="E225" s="80"/>
      <c r="F225" s="110">
        <v>796</v>
      </c>
      <c r="G225" s="81" t="s">
        <v>24</v>
      </c>
      <c r="H225" s="129">
        <v>1</v>
      </c>
      <c r="I225" s="151">
        <v>98401</v>
      </c>
      <c r="J225" s="83" t="s">
        <v>429</v>
      </c>
      <c r="K225" s="26">
        <v>31500</v>
      </c>
      <c r="L225" s="133"/>
      <c r="M225" s="133"/>
      <c r="N225" s="133"/>
      <c r="O225" s="133"/>
      <c r="P225" s="82"/>
      <c r="Q225" s="26"/>
      <c r="R225" s="204"/>
      <c r="S225" s="26"/>
      <c r="T225" s="204">
        <v>1</v>
      </c>
      <c r="U225" s="26">
        <v>31500</v>
      </c>
      <c r="V225" s="24"/>
      <c r="W225" s="24"/>
      <c r="X225" s="26"/>
      <c r="Y225" s="168"/>
      <c r="Z225" s="168"/>
      <c r="AA225" s="168"/>
      <c r="AB225" s="168"/>
      <c r="AC225" s="168"/>
      <c r="AD225" s="168"/>
      <c r="AE225" s="168"/>
    </row>
    <row r="226" spans="1:256" s="164" customFormat="1" ht="14.25" x14ac:dyDescent="0.2">
      <c r="A226" s="140">
        <v>23</v>
      </c>
      <c r="B226" s="156"/>
      <c r="C226" s="157"/>
      <c r="D226" s="158" t="s">
        <v>163</v>
      </c>
      <c r="E226" s="158"/>
      <c r="F226" s="159"/>
      <c r="G226" s="160"/>
      <c r="H226" s="160"/>
      <c r="I226" s="161"/>
      <c r="J226" s="162"/>
      <c r="K226" s="162"/>
      <c r="L226" s="162"/>
      <c r="M226" s="162"/>
      <c r="N226" s="162"/>
      <c r="O226" s="162"/>
      <c r="P226" s="162"/>
      <c r="Q226" s="162"/>
      <c r="R226" s="162"/>
      <c r="S226" s="162"/>
      <c r="T226" s="162"/>
      <c r="U226" s="162"/>
      <c r="V226" s="162"/>
      <c r="W226" s="162"/>
      <c r="X226" s="163"/>
      <c r="Y226" s="140"/>
      <c r="Z226" s="156"/>
      <c r="AA226" s="157"/>
      <c r="AB226" s="158"/>
      <c r="AC226" s="158"/>
      <c r="AD226" s="159"/>
      <c r="AE226" s="160"/>
      <c r="AF226" s="160"/>
      <c r="AG226" s="162"/>
      <c r="AH226" s="162"/>
      <c r="AI226" s="162"/>
      <c r="AJ226" s="162"/>
      <c r="AK226" s="162"/>
      <c r="AL226" s="162"/>
      <c r="AM226" s="162"/>
      <c r="AN226" s="162"/>
      <c r="AO226" s="162"/>
      <c r="AP226" s="162"/>
      <c r="AQ226" s="162"/>
      <c r="AR226" s="162"/>
      <c r="AS226" s="162"/>
      <c r="AT226" s="162"/>
      <c r="AU226" s="162"/>
      <c r="AV226" s="163"/>
      <c r="AW226" s="140"/>
      <c r="AX226" s="156"/>
      <c r="AY226" s="157"/>
      <c r="AZ226" s="158"/>
      <c r="BA226" s="158"/>
      <c r="BB226" s="159"/>
      <c r="BC226" s="160"/>
      <c r="BD226" s="160"/>
      <c r="BE226" s="162"/>
      <c r="BF226" s="162"/>
      <c r="BG226" s="162"/>
      <c r="BH226" s="162"/>
      <c r="BI226" s="162"/>
      <c r="BJ226" s="162"/>
      <c r="BK226" s="162"/>
      <c r="BL226" s="162"/>
      <c r="BM226" s="162"/>
      <c r="BN226" s="162"/>
      <c r="BO226" s="162"/>
      <c r="BP226" s="162"/>
      <c r="BQ226" s="162"/>
      <c r="BR226" s="162"/>
      <c r="BS226" s="162"/>
      <c r="BT226" s="163"/>
      <c r="BU226" s="140"/>
      <c r="BV226" s="156"/>
      <c r="BW226" s="157"/>
      <c r="BX226" s="158"/>
      <c r="BY226" s="158"/>
      <c r="BZ226" s="159"/>
      <c r="CA226" s="160"/>
      <c r="CB226" s="160"/>
      <c r="CC226" s="162"/>
      <c r="CD226" s="162"/>
      <c r="CE226" s="162"/>
      <c r="CF226" s="162"/>
      <c r="CG226" s="162"/>
      <c r="CH226" s="162"/>
      <c r="CI226" s="162"/>
      <c r="CJ226" s="162"/>
      <c r="CK226" s="162"/>
      <c r="CL226" s="162"/>
      <c r="CM226" s="162"/>
      <c r="CN226" s="162"/>
      <c r="CO226" s="162"/>
      <c r="CP226" s="162"/>
      <c r="CQ226" s="162"/>
      <c r="CR226" s="163"/>
      <c r="CS226" s="140"/>
      <c r="CT226" s="156"/>
      <c r="CU226" s="157"/>
      <c r="CV226" s="158"/>
      <c r="CW226" s="158"/>
      <c r="CX226" s="159"/>
      <c r="CY226" s="160"/>
      <c r="CZ226" s="160"/>
      <c r="DA226" s="162"/>
      <c r="DB226" s="162"/>
      <c r="DC226" s="162"/>
      <c r="DD226" s="162"/>
      <c r="DE226" s="162"/>
      <c r="DF226" s="162"/>
      <c r="DG226" s="162"/>
      <c r="DH226" s="162"/>
      <c r="DI226" s="162"/>
      <c r="DJ226" s="162"/>
      <c r="DK226" s="162"/>
      <c r="DL226" s="162"/>
      <c r="DM226" s="162"/>
      <c r="DN226" s="162"/>
      <c r="DO226" s="162"/>
      <c r="DP226" s="163"/>
      <c r="DQ226" s="140"/>
      <c r="DR226" s="156"/>
      <c r="DS226" s="157"/>
      <c r="DT226" s="158"/>
      <c r="DU226" s="158"/>
      <c r="DV226" s="159"/>
      <c r="DW226" s="160"/>
      <c r="DX226" s="160"/>
      <c r="DY226" s="162"/>
      <c r="DZ226" s="162"/>
      <c r="EA226" s="162"/>
      <c r="EB226" s="162"/>
      <c r="EC226" s="162"/>
      <c r="ED226" s="162"/>
      <c r="EE226" s="162"/>
      <c r="EF226" s="162"/>
      <c r="EG226" s="162"/>
      <c r="EH226" s="162"/>
      <c r="EI226" s="162"/>
      <c r="EJ226" s="162"/>
      <c r="EK226" s="162"/>
      <c r="EL226" s="162"/>
      <c r="EM226" s="162"/>
      <c r="EN226" s="163"/>
      <c r="EO226" s="140"/>
      <c r="EP226" s="156"/>
      <c r="EQ226" s="157"/>
      <c r="ER226" s="158"/>
      <c r="ES226" s="158"/>
      <c r="ET226" s="159"/>
      <c r="EU226" s="160"/>
      <c r="EV226" s="160"/>
      <c r="EW226" s="162"/>
      <c r="EX226" s="162"/>
      <c r="EY226" s="162"/>
      <c r="EZ226" s="162"/>
      <c r="FA226" s="162"/>
      <c r="FB226" s="162"/>
      <c r="FC226" s="162"/>
      <c r="FD226" s="162"/>
      <c r="FE226" s="162"/>
      <c r="FF226" s="162"/>
      <c r="FG226" s="162"/>
      <c r="FH226" s="162"/>
      <c r="FI226" s="162"/>
      <c r="FJ226" s="162"/>
      <c r="FK226" s="162"/>
      <c r="FL226" s="163"/>
      <c r="FM226" s="140"/>
      <c r="FN226" s="156"/>
      <c r="FO226" s="157"/>
      <c r="FP226" s="158"/>
      <c r="FQ226" s="158"/>
      <c r="FR226" s="159"/>
      <c r="FS226" s="160"/>
      <c r="FT226" s="160"/>
      <c r="FU226" s="162"/>
      <c r="FV226" s="162"/>
      <c r="FW226" s="162"/>
      <c r="FX226" s="162"/>
      <c r="FY226" s="162"/>
      <c r="FZ226" s="162"/>
      <c r="GA226" s="162"/>
      <c r="GB226" s="162"/>
      <c r="GC226" s="162"/>
      <c r="GD226" s="162"/>
      <c r="GE226" s="162"/>
      <c r="GF226" s="162"/>
      <c r="GG226" s="162"/>
      <c r="GH226" s="162"/>
      <c r="GI226" s="162"/>
      <c r="GJ226" s="163"/>
      <c r="GK226" s="140"/>
      <c r="GL226" s="156"/>
      <c r="GM226" s="157"/>
      <c r="GN226" s="158"/>
      <c r="GO226" s="158"/>
      <c r="GP226" s="159"/>
      <c r="GQ226" s="160"/>
      <c r="GR226" s="160"/>
      <c r="GS226" s="162"/>
      <c r="GT226" s="162"/>
      <c r="GU226" s="162"/>
      <c r="GV226" s="162"/>
      <c r="GW226" s="162"/>
      <c r="GX226" s="162"/>
      <c r="GY226" s="162"/>
      <c r="GZ226" s="162"/>
      <c r="HA226" s="162"/>
      <c r="HB226" s="162"/>
      <c r="HC226" s="162"/>
      <c r="HD226" s="162"/>
      <c r="HE226" s="162"/>
      <c r="HF226" s="162"/>
      <c r="HG226" s="162"/>
      <c r="HH226" s="163"/>
      <c r="HI226" s="140"/>
      <c r="HJ226" s="156"/>
      <c r="HK226" s="157"/>
      <c r="HL226" s="158"/>
      <c r="HM226" s="158"/>
      <c r="HN226" s="159"/>
      <c r="HO226" s="160"/>
      <c r="HP226" s="160"/>
      <c r="HQ226" s="162"/>
      <c r="HR226" s="162"/>
      <c r="HS226" s="162"/>
      <c r="HT226" s="162"/>
      <c r="HU226" s="162"/>
      <c r="HV226" s="162"/>
      <c r="HW226" s="162"/>
      <c r="HX226" s="162"/>
      <c r="HY226" s="162"/>
      <c r="HZ226" s="162"/>
      <c r="IA226" s="162"/>
      <c r="IB226" s="162"/>
      <c r="IC226" s="162"/>
      <c r="ID226" s="162"/>
      <c r="IE226" s="162"/>
      <c r="IF226" s="163"/>
      <c r="IG226" s="140"/>
      <c r="IH226" s="156"/>
      <c r="II226" s="157"/>
      <c r="IJ226" s="158"/>
      <c r="IK226" s="158"/>
      <c r="IL226" s="159"/>
      <c r="IM226" s="160"/>
      <c r="IN226" s="160"/>
      <c r="IO226" s="162"/>
      <c r="IP226" s="162"/>
      <c r="IQ226" s="162"/>
      <c r="IR226" s="162"/>
      <c r="IS226" s="162"/>
      <c r="IT226" s="162"/>
      <c r="IU226" s="162"/>
      <c r="IV226" s="162"/>
    </row>
    <row r="227" spans="1:256" s="141" customFormat="1" ht="45" x14ac:dyDescent="0.25">
      <c r="A227" s="138">
        <v>23.1</v>
      </c>
      <c r="B227" s="165" t="s">
        <v>417</v>
      </c>
      <c r="C227" s="110">
        <v>2320212</v>
      </c>
      <c r="D227" s="80" t="s">
        <v>164</v>
      </c>
      <c r="E227" s="80"/>
      <c r="F227" s="114">
        <v>112</v>
      </c>
      <c r="G227" s="81" t="s">
        <v>165</v>
      </c>
      <c r="H227" s="81">
        <v>25300</v>
      </c>
      <c r="I227" s="151">
        <v>98401</v>
      </c>
      <c r="J227" s="83" t="s">
        <v>429</v>
      </c>
      <c r="K227" s="83">
        <v>885500</v>
      </c>
      <c r="L227" s="83"/>
      <c r="M227" s="83"/>
      <c r="N227" s="83"/>
      <c r="O227" s="83"/>
      <c r="P227" s="83"/>
      <c r="Q227" s="83"/>
      <c r="R227" s="83">
        <v>25308</v>
      </c>
      <c r="S227" s="83">
        <v>885500</v>
      </c>
      <c r="T227" s="83"/>
      <c r="U227" s="83"/>
      <c r="V227" s="83"/>
      <c r="W227" s="83"/>
      <c r="X227" s="167"/>
      <c r="Y227" s="168"/>
      <c r="Z227" s="168"/>
      <c r="AA227" s="168"/>
      <c r="AB227" s="168"/>
      <c r="AC227" s="168"/>
      <c r="AD227" s="168"/>
      <c r="AE227" s="168"/>
    </row>
    <row r="228" spans="1:256" s="141" customFormat="1" x14ac:dyDescent="0.25">
      <c r="A228" s="138">
        <v>23.2</v>
      </c>
      <c r="B228" s="165" t="s">
        <v>417</v>
      </c>
      <c r="C228" s="110">
        <v>2320230</v>
      </c>
      <c r="D228" s="80" t="s">
        <v>166</v>
      </c>
      <c r="E228" s="80"/>
      <c r="F228" s="114">
        <v>112</v>
      </c>
      <c r="G228" s="81" t="s">
        <v>165</v>
      </c>
      <c r="H228" s="81">
        <v>4600</v>
      </c>
      <c r="I228" s="151">
        <v>98401</v>
      </c>
      <c r="J228" s="83" t="s">
        <v>429</v>
      </c>
      <c r="K228" s="83">
        <v>161000</v>
      </c>
      <c r="L228" s="83"/>
      <c r="M228" s="83"/>
      <c r="N228" s="83"/>
      <c r="O228" s="83"/>
      <c r="P228" s="83"/>
      <c r="Q228" s="83"/>
      <c r="R228" s="83">
        <v>4600</v>
      </c>
      <c r="S228" s="83">
        <v>161000</v>
      </c>
      <c r="T228" s="83"/>
      <c r="U228" s="83"/>
      <c r="V228" s="83"/>
      <c r="W228" s="83"/>
      <c r="X228" s="167"/>
      <c r="Y228" s="168"/>
      <c r="Z228" s="168"/>
      <c r="AA228" s="168"/>
      <c r="AB228" s="168"/>
      <c r="AC228" s="168"/>
      <c r="AD228" s="168"/>
      <c r="AE228" s="168"/>
    </row>
    <row r="229" spans="1:256" s="141" customFormat="1" x14ac:dyDescent="0.25">
      <c r="A229" s="138">
        <v>23.3</v>
      </c>
      <c r="B229" s="165" t="s">
        <v>417</v>
      </c>
      <c r="C229" s="110">
        <v>2320230</v>
      </c>
      <c r="D229" s="80" t="s">
        <v>167</v>
      </c>
      <c r="E229" s="80"/>
      <c r="F229" s="114">
        <v>112</v>
      </c>
      <c r="G229" s="81" t="s">
        <v>165</v>
      </c>
      <c r="H229" s="81">
        <v>1000</v>
      </c>
      <c r="I229" s="151">
        <v>98401</v>
      </c>
      <c r="J229" s="83" t="s">
        <v>429</v>
      </c>
      <c r="K229" s="83">
        <v>35000</v>
      </c>
      <c r="L229" s="83"/>
      <c r="M229" s="83"/>
      <c r="N229" s="83"/>
      <c r="O229" s="83"/>
      <c r="P229" s="83"/>
      <c r="Q229" s="83"/>
      <c r="R229" s="83">
        <v>1000</v>
      </c>
      <c r="S229" s="83">
        <v>35000</v>
      </c>
      <c r="T229" s="83"/>
      <c r="U229" s="83"/>
      <c r="V229" s="83"/>
      <c r="W229" s="83"/>
      <c r="X229" s="167"/>
      <c r="Y229" s="168"/>
      <c r="Z229" s="168"/>
      <c r="AA229" s="168"/>
      <c r="AB229" s="168"/>
      <c r="AC229" s="168"/>
      <c r="AD229" s="168"/>
      <c r="AE229" s="168"/>
    </row>
    <row r="230" spans="1:256" s="164" customFormat="1" ht="14.25" x14ac:dyDescent="0.2">
      <c r="A230" s="140">
        <v>24</v>
      </c>
      <c r="B230" s="156"/>
      <c r="C230" s="157"/>
      <c r="D230" s="158" t="s">
        <v>168</v>
      </c>
      <c r="E230" s="158"/>
      <c r="F230" s="159"/>
      <c r="G230" s="160"/>
      <c r="H230" s="160"/>
      <c r="I230" s="161"/>
      <c r="J230" s="162"/>
      <c r="K230" s="162"/>
      <c r="L230" s="162"/>
      <c r="M230" s="162"/>
      <c r="N230" s="162"/>
      <c r="O230" s="162"/>
      <c r="P230" s="162"/>
      <c r="Q230" s="162"/>
      <c r="R230" s="162"/>
      <c r="S230" s="162"/>
      <c r="T230" s="162"/>
      <c r="U230" s="162"/>
      <c r="V230" s="162"/>
      <c r="W230" s="162"/>
      <c r="X230" s="163"/>
      <c r="Y230" s="140"/>
      <c r="Z230" s="156"/>
      <c r="AA230" s="157"/>
      <c r="AB230" s="158"/>
      <c r="AC230" s="158"/>
      <c r="AD230" s="159"/>
      <c r="AE230" s="160"/>
      <c r="AF230" s="160"/>
      <c r="AG230" s="162"/>
      <c r="AH230" s="162"/>
      <c r="AI230" s="162"/>
      <c r="AJ230" s="162"/>
      <c r="AK230" s="162"/>
      <c r="AL230" s="162"/>
      <c r="AM230" s="162"/>
      <c r="AN230" s="162"/>
      <c r="AO230" s="162"/>
      <c r="AP230" s="162"/>
      <c r="AQ230" s="162"/>
      <c r="AR230" s="162"/>
      <c r="AS230" s="162"/>
      <c r="AT230" s="162"/>
      <c r="AU230" s="162"/>
      <c r="AV230" s="163"/>
      <c r="AW230" s="140"/>
      <c r="AX230" s="156"/>
      <c r="AY230" s="157"/>
      <c r="AZ230" s="158"/>
      <c r="BA230" s="158"/>
      <c r="BB230" s="159"/>
      <c r="BC230" s="160"/>
      <c r="BD230" s="160"/>
      <c r="BE230" s="162"/>
      <c r="BF230" s="162"/>
      <c r="BG230" s="162"/>
      <c r="BH230" s="162"/>
      <c r="BI230" s="162"/>
      <c r="BJ230" s="162"/>
      <c r="BK230" s="162"/>
      <c r="BL230" s="162"/>
      <c r="BM230" s="162"/>
      <c r="BN230" s="162"/>
      <c r="BO230" s="162"/>
      <c r="BP230" s="162"/>
      <c r="BQ230" s="162"/>
      <c r="BR230" s="162"/>
      <c r="BS230" s="162"/>
      <c r="BT230" s="163"/>
      <c r="BU230" s="140"/>
      <c r="BV230" s="156"/>
      <c r="BW230" s="157"/>
      <c r="BX230" s="158"/>
      <c r="BY230" s="158"/>
      <c r="BZ230" s="159"/>
      <c r="CA230" s="160"/>
      <c r="CB230" s="160"/>
      <c r="CC230" s="162"/>
      <c r="CD230" s="162"/>
      <c r="CE230" s="162"/>
      <c r="CF230" s="162"/>
      <c r="CG230" s="162"/>
      <c r="CH230" s="162"/>
      <c r="CI230" s="162"/>
      <c r="CJ230" s="162"/>
      <c r="CK230" s="162"/>
      <c r="CL230" s="162"/>
      <c r="CM230" s="162"/>
      <c r="CN230" s="162"/>
      <c r="CO230" s="162"/>
      <c r="CP230" s="162"/>
      <c r="CQ230" s="162"/>
      <c r="CR230" s="163"/>
      <c r="CS230" s="140"/>
      <c r="CT230" s="156"/>
      <c r="CU230" s="157"/>
      <c r="CV230" s="158"/>
      <c r="CW230" s="158"/>
      <c r="CX230" s="159"/>
      <c r="CY230" s="160"/>
      <c r="CZ230" s="160"/>
      <c r="DA230" s="162"/>
      <c r="DB230" s="162"/>
      <c r="DC230" s="162"/>
      <c r="DD230" s="162"/>
      <c r="DE230" s="162"/>
      <c r="DF230" s="162"/>
      <c r="DG230" s="162"/>
      <c r="DH230" s="162"/>
      <c r="DI230" s="162"/>
      <c r="DJ230" s="162"/>
      <c r="DK230" s="162"/>
      <c r="DL230" s="162"/>
      <c r="DM230" s="162"/>
      <c r="DN230" s="162"/>
      <c r="DO230" s="162"/>
      <c r="DP230" s="163"/>
      <c r="DQ230" s="140"/>
      <c r="DR230" s="156"/>
      <c r="DS230" s="157"/>
      <c r="DT230" s="158"/>
      <c r="DU230" s="158"/>
      <c r="DV230" s="159"/>
      <c r="DW230" s="160"/>
      <c r="DX230" s="160"/>
      <c r="DY230" s="162"/>
      <c r="DZ230" s="162"/>
      <c r="EA230" s="162"/>
      <c r="EB230" s="162"/>
      <c r="EC230" s="162"/>
      <c r="ED230" s="162"/>
      <c r="EE230" s="162"/>
      <c r="EF230" s="162"/>
      <c r="EG230" s="162"/>
      <c r="EH230" s="162"/>
      <c r="EI230" s="162"/>
      <c r="EJ230" s="162"/>
      <c r="EK230" s="162"/>
      <c r="EL230" s="162"/>
      <c r="EM230" s="162"/>
      <c r="EN230" s="163"/>
      <c r="EO230" s="140"/>
      <c r="EP230" s="156"/>
      <c r="EQ230" s="157"/>
      <c r="ER230" s="158"/>
      <c r="ES230" s="158"/>
      <c r="ET230" s="159"/>
      <c r="EU230" s="160"/>
      <c r="EV230" s="160"/>
      <c r="EW230" s="162"/>
      <c r="EX230" s="162"/>
      <c r="EY230" s="162"/>
      <c r="EZ230" s="162"/>
      <c r="FA230" s="162"/>
      <c r="FB230" s="162"/>
      <c r="FC230" s="162"/>
      <c r="FD230" s="162"/>
      <c r="FE230" s="162"/>
      <c r="FF230" s="162"/>
      <c r="FG230" s="162"/>
      <c r="FH230" s="162"/>
      <c r="FI230" s="162"/>
      <c r="FJ230" s="162"/>
      <c r="FK230" s="162"/>
      <c r="FL230" s="163"/>
      <c r="FM230" s="140"/>
      <c r="FN230" s="156"/>
      <c r="FO230" s="157"/>
      <c r="FP230" s="158"/>
      <c r="FQ230" s="158"/>
      <c r="FR230" s="159"/>
      <c r="FS230" s="160"/>
      <c r="FT230" s="160"/>
      <c r="FU230" s="162"/>
      <c r="FV230" s="162"/>
      <c r="FW230" s="162"/>
      <c r="FX230" s="162"/>
      <c r="FY230" s="162"/>
      <c r="FZ230" s="162"/>
      <c r="GA230" s="162"/>
      <c r="GB230" s="162"/>
      <c r="GC230" s="162"/>
      <c r="GD230" s="162"/>
      <c r="GE230" s="162"/>
      <c r="GF230" s="162"/>
      <c r="GG230" s="162"/>
      <c r="GH230" s="162"/>
      <c r="GI230" s="162"/>
      <c r="GJ230" s="163"/>
      <c r="GK230" s="140"/>
      <c r="GL230" s="156"/>
      <c r="GM230" s="157"/>
      <c r="GN230" s="158"/>
      <c r="GO230" s="158"/>
      <c r="GP230" s="159"/>
      <c r="GQ230" s="160"/>
      <c r="GR230" s="160"/>
      <c r="GS230" s="162"/>
      <c r="GT230" s="162"/>
      <c r="GU230" s="162"/>
      <c r="GV230" s="162"/>
      <c r="GW230" s="162"/>
      <c r="GX230" s="162"/>
      <c r="GY230" s="162"/>
      <c r="GZ230" s="162"/>
      <c r="HA230" s="162"/>
      <c r="HB230" s="162"/>
      <c r="HC230" s="162"/>
      <c r="HD230" s="162"/>
      <c r="HE230" s="162"/>
      <c r="HF230" s="162"/>
      <c r="HG230" s="162"/>
      <c r="HH230" s="163"/>
      <c r="HI230" s="140"/>
      <c r="HJ230" s="156"/>
      <c r="HK230" s="157"/>
      <c r="HL230" s="158"/>
      <c r="HM230" s="158"/>
      <c r="HN230" s="159"/>
      <c r="HO230" s="160"/>
      <c r="HP230" s="160"/>
      <c r="HQ230" s="162"/>
      <c r="HR230" s="162"/>
      <c r="HS230" s="162"/>
      <c r="HT230" s="162"/>
      <c r="HU230" s="162"/>
      <c r="HV230" s="162"/>
      <c r="HW230" s="162"/>
      <c r="HX230" s="162"/>
      <c r="HY230" s="162"/>
      <c r="HZ230" s="162"/>
      <c r="IA230" s="162"/>
      <c r="IB230" s="162"/>
      <c r="IC230" s="162"/>
      <c r="ID230" s="162"/>
      <c r="IE230" s="162"/>
      <c r="IF230" s="163"/>
      <c r="IG230" s="140"/>
      <c r="IH230" s="156"/>
      <c r="II230" s="157"/>
      <c r="IJ230" s="158"/>
      <c r="IK230" s="158"/>
      <c r="IL230" s="159"/>
      <c r="IM230" s="160"/>
      <c r="IN230" s="160"/>
      <c r="IO230" s="162"/>
      <c r="IP230" s="162"/>
      <c r="IQ230" s="162"/>
      <c r="IR230" s="162"/>
      <c r="IS230" s="162"/>
      <c r="IT230" s="162"/>
      <c r="IU230" s="162"/>
      <c r="IV230" s="162"/>
    </row>
    <row r="231" spans="1:256" s="141" customFormat="1" x14ac:dyDescent="0.25">
      <c r="A231" s="138">
        <v>24.1</v>
      </c>
      <c r="B231" s="165" t="s">
        <v>418</v>
      </c>
      <c r="C231" s="110">
        <v>3612000</v>
      </c>
      <c r="D231" s="172" t="s">
        <v>169</v>
      </c>
      <c r="E231" s="172"/>
      <c r="F231" s="110">
        <v>796</v>
      </c>
      <c r="G231" s="81" t="s">
        <v>17</v>
      </c>
      <c r="H231" s="81">
        <v>51</v>
      </c>
      <c r="I231" s="151">
        <v>98401</v>
      </c>
      <c r="J231" s="83" t="s">
        <v>429</v>
      </c>
      <c r="K231" s="83">
        <v>450600</v>
      </c>
      <c r="L231" s="83"/>
      <c r="M231" s="83"/>
      <c r="N231" s="83"/>
      <c r="O231" s="83"/>
      <c r="P231" s="83"/>
      <c r="Q231" s="83"/>
      <c r="R231" s="83">
        <v>11</v>
      </c>
      <c r="S231" s="83">
        <v>50600</v>
      </c>
      <c r="T231" s="83">
        <v>20</v>
      </c>
      <c r="U231" s="83">
        <v>200000</v>
      </c>
      <c r="V231" s="83">
        <v>20</v>
      </c>
      <c r="W231" s="83">
        <v>200000</v>
      </c>
      <c r="X231" s="167"/>
      <c r="Y231" s="168"/>
      <c r="Z231" s="168"/>
      <c r="AA231" s="168"/>
      <c r="AB231" s="168"/>
      <c r="AC231" s="168"/>
      <c r="AD231" s="168"/>
      <c r="AE231" s="168"/>
    </row>
    <row r="232" spans="1:256" s="141" customFormat="1" x14ac:dyDescent="0.25">
      <c r="A232" s="138">
        <v>24.2</v>
      </c>
      <c r="B232" s="165" t="s">
        <v>418</v>
      </c>
      <c r="C232" s="110">
        <v>3612000</v>
      </c>
      <c r="D232" s="172" t="s">
        <v>170</v>
      </c>
      <c r="E232" s="172"/>
      <c r="F232" s="110">
        <v>796</v>
      </c>
      <c r="G232" s="81" t="s">
        <v>17</v>
      </c>
      <c r="H232" s="81">
        <v>144</v>
      </c>
      <c r="I232" s="151">
        <v>98401</v>
      </c>
      <c r="J232" s="83" t="s">
        <v>429</v>
      </c>
      <c r="K232" s="83">
        <v>506000</v>
      </c>
      <c r="L232" s="83"/>
      <c r="M232" s="83"/>
      <c r="N232" s="83"/>
      <c r="O232" s="83"/>
      <c r="P232" s="83"/>
      <c r="Q232" s="83"/>
      <c r="R232" s="83">
        <v>64</v>
      </c>
      <c r="S232" s="83">
        <v>96000</v>
      </c>
      <c r="T232" s="83">
        <v>50</v>
      </c>
      <c r="U232" s="83">
        <v>320000</v>
      </c>
      <c r="V232" s="83">
        <v>30</v>
      </c>
      <c r="W232" s="83">
        <v>90000</v>
      </c>
      <c r="X232" s="167"/>
      <c r="Y232" s="168"/>
      <c r="Z232" s="168"/>
      <c r="AA232" s="168"/>
      <c r="AB232" s="168"/>
      <c r="AC232" s="168"/>
      <c r="AD232" s="168"/>
      <c r="AE232" s="168"/>
    </row>
    <row r="233" spans="1:256" s="141" customFormat="1" x14ac:dyDescent="0.25">
      <c r="A233" s="138">
        <v>24.3</v>
      </c>
      <c r="B233" s="165" t="s">
        <v>418</v>
      </c>
      <c r="C233" s="110">
        <v>3612000</v>
      </c>
      <c r="D233" s="172" t="s">
        <v>338</v>
      </c>
      <c r="E233" s="172"/>
      <c r="F233" s="110">
        <v>796</v>
      </c>
      <c r="G233" s="81" t="s">
        <v>17</v>
      </c>
      <c r="H233" s="81">
        <v>86</v>
      </c>
      <c r="I233" s="151">
        <v>98401</v>
      </c>
      <c r="J233" s="83" t="s">
        <v>429</v>
      </c>
      <c r="K233" s="83">
        <v>586800</v>
      </c>
      <c r="L233" s="83"/>
      <c r="M233" s="83"/>
      <c r="N233" s="83"/>
      <c r="O233" s="83"/>
      <c r="P233" s="83"/>
      <c r="Q233" s="83"/>
      <c r="R233" s="83">
        <v>2</v>
      </c>
      <c r="S233" s="83">
        <v>4800</v>
      </c>
      <c r="T233" s="83">
        <v>54</v>
      </c>
      <c r="U233" s="83">
        <v>432000</v>
      </c>
      <c r="V233" s="83">
        <v>30</v>
      </c>
      <c r="W233" s="83">
        <v>150000</v>
      </c>
      <c r="X233" s="167"/>
      <c r="Y233" s="168"/>
      <c r="Z233" s="168"/>
      <c r="AA233" s="168"/>
      <c r="AB233" s="168"/>
      <c r="AC233" s="168"/>
      <c r="AD233" s="168"/>
      <c r="AE233" s="168"/>
    </row>
    <row r="234" spans="1:256" s="141" customFormat="1" x14ac:dyDescent="0.25">
      <c r="A234" s="138">
        <v>24.4</v>
      </c>
      <c r="B234" s="165" t="s">
        <v>418</v>
      </c>
      <c r="C234" s="110">
        <v>3612000</v>
      </c>
      <c r="D234" s="172" t="s">
        <v>171</v>
      </c>
      <c r="E234" s="172"/>
      <c r="F234" s="110">
        <v>796</v>
      </c>
      <c r="G234" s="81" t="s">
        <v>17</v>
      </c>
      <c r="H234" s="81">
        <v>25</v>
      </c>
      <c r="I234" s="151">
        <v>98401</v>
      </c>
      <c r="J234" s="83" t="s">
        <v>429</v>
      </c>
      <c r="K234" s="83">
        <v>235000</v>
      </c>
      <c r="L234" s="83"/>
      <c r="M234" s="83"/>
      <c r="N234" s="83"/>
      <c r="O234" s="83"/>
      <c r="P234" s="83"/>
      <c r="Q234" s="83"/>
      <c r="R234" s="83">
        <v>5</v>
      </c>
      <c r="S234" s="83">
        <v>35000</v>
      </c>
      <c r="T234" s="83">
        <v>10</v>
      </c>
      <c r="U234" s="83">
        <v>100000</v>
      </c>
      <c r="V234" s="83">
        <v>10</v>
      </c>
      <c r="W234" s="83">
        <v>100000</v>
      </c>
      <c r="X234" s="167"/>
      <c r="Y234" s="168"/>
      <c r="Z234" s="168"/>
      <c r="AA234" s="168"/>
      <c r="AB234" s="168"/>
      <c r="AC234" s="168"/>
      <c r="AD234" s="168"/>
      <c r="AE234" s="168"/>
    </row>
    <row r="235" spans="1:256" s="141" customFormat="1" x14ac:dyDescent="0.25">
      <c r="A235" s="138">
        <v>24.5</v>
      </c>
      <c r="B235" s="165" t="s">
        <v>418</v>
      </c>
      <c r="C235" s="110">
        <v>3612000</v>
      </c>
      <c r="D235" s="172" t="s">
        <v>172</v>
      </c>
      <c r="E235" s="172"/>
      <c r="F235" s="110">
        <v>796</v>
      </c>
      <c r="G235" s="81" t="s">
        <v>17</v>
      </c>
      <c r="H235" s="81">
        <v>23</v>
      </c>
      <c r="I235" s="151">
        <v>98401</v>
      </c>
      <c r="J235" s="83" t="s">
        <v>429</v>
      </c>
      <c r="K235" s="83">
        <v>199000</v>
      </c>
      <c r="L235" s="83"/>
      <c r="M235" s="83"/>
      <c r="N235" s="83"/>
      <c r="O235" s="83"/>
      <c r="P235" s="83"/>
      <c r="Q235" s="83"/>
      <c r="R235" s="83">
        <v>7</v>
      </c>
      <c r="S235" s="83">
        <v>49000</v>
      </c>
      <c r="T235" s="83">
        <v>10</v>
      </c>
      <c r="U235" s="83">
        <v>60000</v>
      </c>
      <c r="V235" s="83">
        <v>6</v>
      </c>
      <c r="W235" s="83">
        <v>90000</v>
      </c>
      <c r="X235" s="167"/>
      <c r="Y235" s="168"/>
      <c r="Z235" s="168"/>
      <c r="AA235" s="168"/>
      <c r="AB235" s="168"/>
      <c r="AC235" s="168"/>
      <c r="AD235" s="168"/>
      <c r="AE235" s="168"/>
    </row>
    <row r="236" spans="1:256" s="141" customFormat="1" x14ac:dyDescent="0.25">
      <c r="A236" s="138">
        <v>24.6</v>
      </c>
      <c r="B236" s="165" t="s">
        <v>418</v>
      </c>
      <c r="C236" s="110">
        <v>3612000</v>
      </c>
      <c r="D236" s="172" t="s">
        <v>173</v>
      </c>
      <c r="E236" s="172"/>
      <c r="F236" s="110">
        <v>796</v>
      </c>
      <c r="G236" s="81" t="s">
        <v>17</v>
      </c>
      <c r="H236" s="81">
        <v>32</v>
      </c>
      <c r="I236" s="151">
        <v>98401</v>
      </c>
      <c r="J236" s="83" t="s">
        <v>429</v>
      </c>
      <c r="K236" s="83">
        <v>145900</v>
      </c>
      <c r="L236" s="83"/>
      <c r="M236" s="83"/>
      <c r="N236" s="83"/>
      <c r="O236" s="83"/>
      <c r="P236" s="83"/>
      <c r="Q236" s="83"/>
      <c r="R236" s="83">
        <v>11</v>
      </c>
      <c r="S236" s="83">
        <v>52800</v>
      </c>
      <c r="T236" s="83">
        <v>1</v>
      </c>
      <c r="U236" s="83">
        <v>3100</v>
      </c>
      <c r="V236" s="83">
        <v>20</v>
      </c>
      <c r="W236" s="83">
        <v>90000</v>
      </c>
      <c r="X236" s="167"/>
      <c r="Y236" s="168"/>
      <c r="Z236" s="168"/>
      <c r="AA236" s="168"/>
      <c r="AB236" s="168"/>
      <c r="AC236" s="168"/>
      <c r="AD236" s="168"/>
      <c r="AE236" s="168"/>
    </row>
    <row r="237" spans="1:256" s="141" customFormat="1" x14ac:dyDescent="0.25">
      <c r="A237" s="138">
        <v>24.7</v>
      </c>
      <c r="B237" s="165" t="s">
        <v>418</v>
      </c>
      <c r="C237" s="110">
        <v>3612000</v>
      </c>
      <c r="D237" s="172" t="s">
        <v>174</v>
      </c>
      <c r="E237" s="172"/>
      <c r="F237" s="110">
        <v>796</v>
      </c>
      <c r="G237" s="81" t="s">
        <v>17</v>
      </c>
      <c r="H237" s="81">
        <v>11</v>
      </c>
      <c r="I237" s="151">
        <v>98401</v>
      </c>
      <c r="J237" s="83" t="s">
        <v>429</v>
      </c>
      <c r="K237" s="83">
        <v>65000</v>
      </c>
      <c r="L237" s="83"/>
      <c r="M237" s="83"/>
      <c r="N237" s="83"/>
      <c r="O237" s="83"/>
      <c r="P237" s="83"/>
      <c r="Q237" s="83"/>
      <c r="R237" s="83">
        <v>1</v>
      </c>
      <c r="S237" s="83">
        <v>5000</v>
      </c>
      <c r="T237" s="83"/>
      <c r="U237" s="83"/>
      <c r="V237" s="83">
        <v>10</v>
      </c>
      <c r="W237" s="83">
        <v>60000</v>
      </c>
      <c r="X237" s="167"/>
      <c r="Y237" s="168"/>
      <c r="Z237" s="168"/>
      <c r="AA237" s="168"/>
      <c r="AB237" s="168"/>
      <c r="AC237" s="168"/>
      <c r="AD237" s="168"/>
      <c r="AE237" s="168"/>
    </row>
    <row r="238" spans="1:256" s="141" customFormat="1" x14ac:dyDescent="0.25">
      <c r="A238" s="138">
        <v>24.8</v>
      </c>
      <c r="B238" s="165" t="s">
        <v>418</v>
      </c>
      <c r="C238" s="110">
        <v>3612000</v>
      </c>
      <c r="D238" s="172" t="s">
        <v>175</v>
      </c>
      <c r="E238" s="172"/>
      <c r="F238" s="110">
        <v>796</v>
      </c>
      <c r="G238" s="81" t="s">
        <v>17</v>
      </c>
      <c r="H238" s="81">
        <v>5</v>
      </c>
      <c r="I238" s="151">
        <v>98401</v>
      </c>
      <c r="J238" s="83" t="s">
        <v>429</v>
      </c>
      <c r="K238" s="83">
        <v>28000</v>
      </c>
      <c r="L238" s="83"/>
      <c r="M238" s="83"/>
      <c r="N238" s="83"/>
      <c r="O238" s="83"/>
      <c r="P238" s="83"/>
      <c r="Q238" s="83"/>
      <c r="R238" s="83"/>
      <c r="S238" s="83"/>
      <c r="T238" s="83">
        <v>5</v>
      </c>
      <c r="U238" s="83">
        <v>28000</v>
      </c>
      <c r="V238" s="83"/>
      <c r="W238" s="83"/>
      <c r="X238" s="167"/>
      <c r="Y238" s="168"/>
      <c r="Z238" s="168"/>
      <c r="AA238" s="168"/>
      <c r="AB238" s="168"/>
      <c r="AC238" s="168"/>
      <c r="AD238" s="168"/>
      <c r="AE238" s="168"/>
    </row>
    <row r="239" spans="1:256" s="141" customFormat="1" x14ac:dyDescent="0.25">
      <c r="A239" s="138">
        <v>24.9</v>
      </c>
      <c r="B239" s="165" t="s">
        <v>418</v>
      </c>
      <c r="C239" s="110">
        <v>3612000</v>
      </c>
      <c r="D239" s="172" t="s">
        <v>176</v>
      </c>
      <c r="E239" s="172"/>
      <c r="F239" s="110">
        <v>796</v>
      </c>
      <c r="G239" s="81" t="s">
        <v>17</v>
      </c>
      <c r="H239" s="81">
        <v>2</v>
      </c>
      <c r="I239" s="151">
        <v>98401</v>
      </c>
      <c r="J239" s="83" t="s">
        <v>429</v>
      </c>
      <c r="K239" s="83">
        <v>90000</v>
      </c>
      <c r="L239" s="83"/>
      <c r="M239" s="83"/>
      <c r="N239" s="83"/>
      <c r="O239" s="83"/>
      <c r="P239" s="83"/>
      <c r="Q239" s="83"/>
      <c r="R239" s="83"/>
      <c r="S239" s="83"/>
      <c r="T239" s="83">
        <v>2</v>
      </c>
      <c r="U239" s="83">
        <v>90000</v>
      </c>
      <c r="V239" s="83"/>
      <c r="W239" s="83"/>
      <c r="X239" s="167"/>
      <c r="Y239" s="168"/>
      <c r="Z239" s="168"/>
      <c r="AA239" s="168"/>
      <c r="AB239" s="168"/>
      <c r="AC239" s="168"/>
      <c r="AD239" s="168"/>
      <c r="AE239" s="168"/>
    </row>
    <row r="240" spans="1:256" s="141" customFormat="1" x14ac:dyDescent="0.25">
      <c r="A240" s="138">
        <v>24.1</v>
      </c>
      <c r="B240" s="165" t="s">
        <v>418</v>
      </c>
      <c r="C240" s="110">
        <v>3612000</v>
      </c>
      <c r="D240" s="172" t="s">
        <v>329</v>
      </c>
      <c r="E240" s="172"/>
      <c r="F240" s="110">
        <v>796</v>
      </c>
      <c r="G240" s="81" t="s">
        <v>17</v>
      </c>
      <c r="H240" s="81">
        <v>12</v>
      </c>
      <c r="I240" s="151">
        <v>98401</v>
      </c>
      <c r="J240" s="83" t="s">
        <v>429</v>
      </c>
      <c r="K240" s="83">
        <v>61000</v>
      </c>
      <c r="L240" s="83"/>
      <c r="M240" s="83"/>
      <c r="N240" s="83"/>
      <c r="O240" s="83"/>
      <c r="P240" s="83"/>
      <c r="Q240" s="83"/>
      <c r="R240" s="83"/>
      <c r="S240" s="83"/>
      <c r="T240" s="83">
        <v>6</v>
      </c>
      <c r="U240" s="83">
        <v>30500</v>
      </c>
      <c r="V240" s="83">
        <v>6</v>
      </c>
      <c r="W240" s="83">
        <v>30500</v>
      </c>
      <c r="X240" s="167"/>
      <c r="Y240" s="168"/>
      <c r="Z240" s="168"/>
      <c r="AA240" s="168"/>
      <c r="AB240" s="168"/>
      <c r="AC240" s="168"/>
      <c r="AD240" s="168"/>
      <c r="AE240" s="168"/>
    </row>
    <row r="241" spans="1:256" s="164" customFormat="1" ht="28.5" x14ac:dyDescent="0.2">
      <c r="A241" s="140">
        <v>25</v>
      </c>
      <c r="B241" s="156"/>
      <c r="C241" s="157"/>
      <c r="D241" s="158" t="s">
        <v>177</v>
      </c>
      <c r="E241" s="158"/>
      <c r="F241" s="159"/>
      <c r="G241" s="160"/>
      <c r="H241" s="160"/>
      <c r="I241" s="161"/>
      <c r="J241" s="162"/>
      <c r="K241" s="162"/>
      <c r="L241" s="162"/>
      <c r="M241" s="162"/>
      <c r="N241" s="162"/>
      <c r="O241" s="162"/>
      <c r="P241" s="162"/>
      <c r="Q241" s="162"/>
      <c r="R241" s="162"/>
      <c r="S241" s="162"/>
      <c r="T241" s="162"/>
      <c r="U241" s="162"/>
      <c r="V241" s="162"/>
      <c r="W241" s="162"/>
      <c r="X241" s="163"/>
      <c r="Y241" s="140"/>
      <c r="Z241" s="156"/>
      <c r="AA241" s="157"/>
      <c r="AB241" s="158"/>
      <c r="AC241" s="158"/>
      <c r="AD241" s="159"/>
      <c r="AE241" s="160"/>
      <c r="AF241" s="160"/>
      <c r="AG241" s="162"/>
      <c r="AH241" s="162"/>
      <c r="AI241" s="162"/>
      <c r="AJ241" s="162"/>
      <c r="AK241" s="162"/>
      <c r="AL241" s="162"/>
      <c r="AM241" s="162"/>
      <c r="AN241" s="162"/>
      <c r="AO241" s="162"/>
      <c r="AP241" s="162"/>
      <c r="AQ241" s="162"/>
      <c r="AR241" s="162"/>
      <c r="AS241" s="162"/>
      <c r="AT241" s="162"/>
      <c r="AU241" s="162"/>
      <c r="AV241" s="163"/>
      <c r="AW241" s="140"/>
      <c r="AX241" s="156"/>
      <c r="AY241" s="157"/>
      <c r="AZ241" s="158"/>
      <c r="BA241" s="158"/>
      <c r="BB241" s="159"/>
      <c r="BC241" s="160"/>
      <c r="BD241" s="160"/>
      <c r="BE241" s="162"/>
      <c r="BF241" s="162"/>
      <c r="BG241" s="162"/>
      <c r="BH241" s="162"/>
      <c r="BI241" s="162"/>
      <c r="BJ241" s="162"/>
      <c r="BK241" s="162"/>
      <c r="BL241" s="162"/>
      <c r="BM241" s="162"/>
      <c r="BN241" s="162"/>
      <c r="BO241" s="162"/>
      <c r="BP241" s="162"/>
      <c r="BQ241" s="162"/>
      <c r="BR241" s="162"/>
      <c r="BS241" s="162"/>
      <c r="BT241" s="163"/>
      <c r="BU241" s="140"/>
      <c r="BV241" s="156"/>
      <c r="BW241" s="157"/>
      <c r="BX241" s="158"/>
      <c r="BY241" s="158"/>
      <c r="BZ241" s="159"/>
      <c r="CA241" s="160"/>
      <c r="CB241" s="160"/>
      <c r="CC241" s="162"/>
      <c r="CD241" s="162"/>
      <c r="CE241" s="162"/>
      <c r="CF241" s="162"/>
      <c r="CG241" s="162"/>
      <c r="CH241" s="162"/>
      <c r="CI241" s="162"/>
      <c r="CJ241" s="162"/>
      <c r="CK241" s="162"/>
      <c r="CL241" s="162"/>
      <c r="CM241" s="162"/>
      <c r="CN241" s="162"/>
      <c r="CO241" s="162"/>
      <c r="CP241" s="162"/>
      <c r="CQ241" s="162"/>
      <c r="CR241" s="163"/>
      <c r="CS241" s="140"/>
      <c r="CT241" s="156"/>
      <c r="CU241" s="157"/>
      <c r="CV241" s="158"/>
      <c r="CW241" s="158"/>
      <c r="CX241" s="159"/>
      <c r="CY241" s="160"/>
      <c r="CZ241" s="160"/>
      <c r="DA241" s="162"/>
      <c r="DB241" s="162"/>
      <c r="DC241" s="162"/>
      <c r="DD241" s="162"/>
      <c r="DE241" s="162"/>
      <c r="DF241" s="162"/>
      <c r="DG241" s="162"/>
      <c r="DH241" s="162"/>
      <c r="DI241" s="162"/>
      <c r="DJ241" s="162"/>
      <c r="DK241" s="162"/>
      <c r="DL241" s="162"/>
      <c r="DM241" s="162"/>
      <c r="DN241" s="162"/>
      <c r="DO241" s="162"/>
      <c r="DP241" s="163"/>
      <c r="DQ241" s="140"/>
      <c r="DR241" s="156"/>
      <c r="DS241" s="157"/>
      <c r="DT241" s="158"/>
      <c r="DU241" s="158"/>
      <c r="DV241" s="159"/>
      <c r="DW241" s="160"/>
      <c r="DX241" s="160"/>
      <c r="DY241" s="162"/>
      <c r="DZ241" s="162"/>
      <c r="EA241" s="162"/>
      <c r="EB241" s="162"/>
      <c r="EC241" s="162"/>
      <c r="ED241" s="162"/>
      <c r="EE241" s="162"/>
      <c r="EF241" s="162"/>
      <c r="EG241" s="162"/>
      <c r="EH241" s="162"/>
      <c r="EI241" s="162"/>
      <c r="EJ241" s="162"/>
      <c r="EK241" s="162"/>
      <c r="EL241" s="162"/>
      <c r="EM241" s="162"/>
      <c r="EN241" s="163"/>
      <c r="EO241" s="140"/>
      <c r="EP241" s="156"/>
      <c r="EQ241" s="157"/>
      <c r="ER241" s="158"/>
      <c r="ES241" s="158"/>
      <c r="ET241" s="159"/>
      <c r="EU241" s="160"/>
      <c r="EV241" s="160"/>
      <c r="EW241" s="162"/>
      <c r="EX241" s="162"/>
      <c r="EY241" s="162"/>
      <c r="EZ241" s="162"/>
      <c r="FA241" s="162"/>
      <c r="FB241" s="162"/>
      <c r="FC241" s="162"/>
      <c r="FD241" s="162"/>
      <c r="FE241" s="162"/>
      <c r="FF241" s="162"/>
      <c r="FG241" s="162"/>
      <c r="FH241" s="162"/>
      <c r="FI241" s="162"/>
      <c r="FJ241" s="162"/>
      <c r="FK241" s="162"/>
      <c r="FL241" s="163"/>
      <c r="FM241" s="140"/>
      <c r="FN241" s="156"/>
      <c r="FO241" s="157"/>
      <c r="FP241" s="158"/>
      <c r="FQ241" s="158"/>
      <c r="FR241" s="159"/>
      <c r="FS241" s="160"/>
      <c r="FT241" s="160"/>
      <c r="FU241" s="162"/>
      <c r="FV241" s="162"/>
      <c r="FW241" s="162"/>
      <c r="FX241" s="162"/>
      <c r="FY241" s="162"/>
      <c r="FZ241" s="162"/>
      <c r="GA241" s="162"/>
      <c r="GB241" s="162"/>
      <c r="GC241" s="162"/>
      <c r="GD241" s="162"/>
      <c r="GE241" s="162"/>
      <c r="GF241" s="162"/>
      <c r="GG241" s="162"/>
      <c r="GH241" s="162"/>
      <c r="GI241" s="162"/>
      <c r="GJ241" s="163"/>
      <c r="GK241" s="140"/>
      <c r="GL241" s="156"/>
      <c r="GM241" s="157"/>
      <c r="GN241" s="158"/>
      <c r="GO241" s="158"/>
      <c r="GP241" s="159"/>
      <c r="GQ241" s="160"/>
      <c r="GR241" s="160"/>
      <c r="GS241" s="162"/>
      <c r="GT241" s="162"/>
      <c r="GU241" s="162"/>
      <c r="GV241" s="162"/>
      <c r="GW241" s="162"/>
      <c r="GX241" s="162"/>
      <c r="GY241" s="162"/>
      <c r="GZ241" s="162"/>
      <c r="HA241" s="162"/>
      <c r="HB241" s="162"/>
      <c r="HC241" s="162"/>
      <c r="HD241" s="162"/>
      <c r="HE241" s="162"/>
      <c r="HF241" s="162"/>
      <c r="HG241" s="162"/>
      <c r="HH241" s="163"/>
      <c r="HI241" s="140"/>
      <c r="HJ241" s="156"/>
      <c r="HK241" s="157"/>
      <c r="HL241" s="158"/>
      <c r="HM241" s="158"/>
      <c r="HN241" s="159"/>
      <c r="HO241" s="160"/>
      <c r="HP241" s="160"/>
      <c r="HQ241" s="162"/>
      <c r="HR241" s="162"/>
      <c r="HS241" s="162"/>
      <c r="HT241" s="162"/>
      <c r="HU241" s="162"/>
      <c r="HV241" s="162"/>
      <c r="HW241" s="162"/>
      <c r="HX241" s="162"/>
      <c r="HY241" s="162"/>
      <c r="HZ241" s="162"/>
      <c r="IA241" s="162"/>
      <c r="IB241" s="162"/>
      <c r="IC241" s="162"/>
      <c r="ID241" s="162"/>
      <c r="IE241" s="162"/>
      <c r="IF241" s="163"/>
      <c r="IG241" s="140"/>
      <c r="IH241" s="156"/>
      <c r="II241" s="157"/>
      <c r="IJ241" s="158"/>
      <c r="IK241" s="158"/>
      <c r="IL241" s="159"/>
      <c r="IM241" s="160"/>
      <c r="IN241" s="160"/>
      <c r="IO241" s="162"/>
      <c r="IP241" s="162"/>
      <c r="IQ241" s="162"/>
      <c r="IR241" s="162"/>
      <c r="IS241" s="162"/>
      <c r="IT241" s="162"/>
      <c r="IU241" s="162"/>
      <c r="IV241" s="162"/>
    </row>
    <row r="242" spans="1:256" s="141" customFormat="1" x14ac:dyDescent="0.25">
      <c r="A242" s="138">
        <v>25.1</v>
      </c>
      <c r="B242" s="165" t="s">
        <v>410</v>
      </c>
      <c r="C242" s="110">
        <v>5235020</v>
      </c>
      <c r="D242" s="80" t="s">
        <v>178</v>
      </c>
      <c r="E242" s="80"/>
      <c r="F242" s="110">
        <v>796</v>
      </c>
      <c r="G242" s="81" t="s">
        <v>17</v>
      </c>
      <c r="H242" s="81">
        <v>12</v>
      </c>
      <c r="I242" s="151">
        <v>98401</v>
      </c>
      <c r="J242" s="83" t="s">
        <v>429</v>
      </c>
      <c r="K242" s="83">
        <v>736900</v>
      </c>
      <c r="L242" s="83"/>
      <c r="M242" s="83"/>
      <c r="N242" s="83"/>
      <c r="O242" s="83"/>
      <c r="P242" s="83">
        <v>12</v>
      </c>
      <c r="Q242" s="83">
        <v>480000</v>
      </c>
      <c r="R242" s="83"/>
      <c r="S242" s="83"/>
      <c r="T242" s="83">
        <v>1</v>
      </c>
      <c r="U242" s="83">
        <v>36900</v>
      </c>
      <c r="V242" s="83">
        <v>4</v>
      </c>
      <c r="W242" s="83">
        <v>220000</v>
      </c>
      <c r="X242" s="167"/>
      <c r="Y242" s="168"/>
      <c r="Z242" s="168"/>
      <c r="AA242" s="168"/>
      <c r="AB242" s="168"/>
      <c r="AC242" s="168"/>
      <c r="AD242" s="168"/>
      <c r="AE242" s="168"/>
    </row>
    <row r="243" spans="1:256" s="141" customFormat="1" x14ac:dyDescent="0.25">
      <c r="A243" s="138">
        <v>25.2</v>
      </c>
      <c r="B243" s="165" t="s">
        <v>410</v>
      </c>
      <c r="C243" s="110">
        <v>5235020</v>
      </c>
      <c r="D243" s="80" t="s">
        <v>179</v>
      </c>
      <c r="E243" s="80"/>
      <c r="F243" s="110">
        <v>796</v>
      </c>
      <c r="G243" s="81" t="s">
        <v>17</v>
      </c>
      <c r="H243" s="81">
        <v>7</v>
      </c>
      <c r="I243" s="151">
        <v>98401</v>
      </c>
      <c r="J243" s="83" t="s">
        <v>429</v>
      </c>
      <c r="K243" s="83">
        <v>226450</v>
      </c>
      <c r="L243" s="83"/>
      <c r="M243" s="83"/>
      <c r="N243" s="83"/>
      <c r="O243" s="83"/>
      <c r="P243" s="83">
        <v>1</v>
      </c>
      <c r="Q243" s="83">
        <v>36500</v>
      </c>
      <c r="R243" s="83">
        <v>1</v>
      </c>
      <c r="S243" s="83">
        <v>36500</v>
      </c>
      <c r="T243" s="83">
        <v>3</v>
      </c>
      <c r="U243" s="83">
        <v>80450</v>
      </c>
      <c r="V243" s="83">
        <v>2</v>
      </c>
      <c r="W243" s="83">
        <v>73000</v>
      </c>
      <c r="X243" s="167"/>
      <c r="Y243" s="168"/>
      <c r="Z243" s="168"/>
      <c r="AA243" s="168"/>
      <c r="AB243" s="168"/>
      <c r="AC243" s="168"/>
      <c r="AD243" s="168"/>
      <c r="AE243" s="168"/>
    </row>
    <row r="244" spans="1:256" s="141" customFormat="1" x14ac:dyDescent="0.25">
      <c r="A244" s="138">
        <v>25.3</v>
      </c>
      <c r="B244" s="165" t="s">
        <v>410</v>
      </c>
      <c r="C244" s="110">
        <v>5235020</v>
      </c>
      <c r="D244" s="80" t="s">
        <v>180</v>
      </c>
      <c r="E244" s="80"/>
      <c r="F244" s="110">
        <v>796</v>
      </c>
      <c r="G244" s="81" t="s">
        <v>17</v>
      </c>
      <c r="H244" s="81">
        <v>5</v>
      </c>
      <c r="I244" s="151">
        <v>98401</v>
      </c>
      <c r="J244" s="83" t="s">
        <v>429</v>
      </c>
      <c r="K244" s="83">
        <v>40000</v>
      </c>
      <c r="L244" s="83"/>
      <c r="M244" s="83"/>
      <c r="N244" s="83"/>
      <c r="O244" s="83"/>
      <c r="P244" s="83">
        <v>5</v>
      </c>
      <c r="Q244" s="83">
        <v>40000</v>
      </c>
      <c r="R244" s="83"/>
      <c r="S244" s="83"/>
      <c r="T244" s="83"/>
      <c r="U244" s="83"/>
      <c r="V244" s="83"/>
      <c r="W244" s="83"/>
      <c r="X244" s="167"/>
      <c r="Y244" s="168"/>
      <c r="Z244" s="168"/>
      <c r="AA244" s="168"/>
      <c r="AB244" s="168"/>
      <c r="AC244" s="168"/>
      <c r="AD244" s="168"/>
      <c r="AE244" s="168"/>
    </row>
    <row r="245" spans="1:256" s="141" customFormat="1" x14ac:dyDescent="0.25">
      <c r="A245" s="138">
        <v>25.4</v>
      </c>
      <c r="B245" s="165" t="s">
        <v>410</v>
      </c>
      <c r="C245" s="110">
        <v>5235020</v>
      </c>
      <c r="D245" s="80" t="s">
        <v>181</v>
      </c>
      <c r="E245" s="80"/>
      <c r="F245" s="110">
        <v>796</v>
      </c>
      <c r="G245" s="81" t="s">
        <v>17</v>
      </c>
      <c r="H245" s="81">
        <v>2</v>
      </c>
      <c r="I245" s="151">
        <v>98401</v>
      </c>
      <c r="J245" s="83" t="s">
        <v>429</v>
      </c>
      <c r="K245" s="83">
        <v>500000</v>
      </c>
      <c r="L245" s="83"/>
      <c r="M245" s="83"/>
      <c r="N245" s="83"/>
      <c r="O245" s="83"/>
      <c r="P245" s="83"/>
      <c r="Q245" s="83"/>
      <c r="R245" s="83"/>
      <c r="S245" s="83"/>
      <c r="T245" s="83">
        <v>2</v>
      </c>
      <c r="U245" s="83">
        <v>500000</v>
      </c>
      <c r="V245" s="83"/>
      <c r="W245" s="83"/>
      <c r="X245" s="167"/>
      <c r="Y245" s="168"/>
      <c r="Z245" s="168"/>
      <c r="AA245" s="168"/>
      <c r="AB245" s="168"/>
      <c r="AC245" s="168"/>
      <c r="AD245" s="168"/>
      <c r="AE245" s="168"/>
    </row>
    <row r="246" spans="1:256" s="141" customFormat="1" x14ac:dyDescent="0.25">
      <c r="A246" s="138">
        <v>25.5</v>
      </c>
      <c r="B246" s="165" t="s">
        <v>410</v>
      </c>
      <c r="C246" s="110">
        <v>5235020</v>
      </c>
      <c r="D246" s="80" t="s">
        <v>182</v>
      </c>
      <c r="E246" s="80"/>
      <c r="F246" s="110">
        <v>796</v>
      </c>
      <c r="G246" s="81" t="s">
        <v>17</v>
      </c>
      <c r="H246" s="81">
        <v>2</v>
      </c>
      <c r="I246" s="151">
        <v>98401</v>
      </c>
      <c r="J246" s="83" t="s">
        <v>429</v>
      </c>
      <c r="K246" s="83">
        <v>120980</v>
      </c>
      <c r="L246" s="83"/>
      <c r="M246" s="83"/>
      <c r="N246" s="83"/>
      <c r="O246" s="83"/>
      <c r="P246" s="83">
        <v>2</v>
      </c>
      <c r="Q246" s="83">
        <v>16000</v>
      </c>
      <c r="R246" s="83"/>
      <c r="S246" s="83"/>
      <c r="T246" s="83">
        <v>2</v>
      </c>
      <c r="U246" s="83">
        <v>33980</v>
      </c>
      <c r="V246" s="83">
        <v>5</v>
      </c>
      <c r="W246" s="83">
        <v>71000</v>
      </c>
      <c r="X246" s="167"/>
      <c r="Y246" s="168"/>
      <c r="Z246" s="168"/>
      <c r="AA246" s="168"/>
      <c r="AB246" s="168"/>
      <c r="AC246" s="168"/>
      <c r="AD246" s="168"/>
      <c r="AE246" s="168"/>
    </row>
    <row r="247" spans="1:256" s="141" customFormat="1" x14ac:dyDescent="0.25">
      <c r="A247" s="138">
        <v>25.6</v>
      </c>
      <c r="B247" s="165" t="s">
        <v>410</v>
      </c>
      <c r="C247" s="110">
        <v>5235020</v>
      </c>
      <c r="D247" s="80" t="s">
        <v>183</v>
      </c>
      <c r="E247" s="80"/>
      <c r="F247" s="110">
        <v>796</v>
      </c>
      <c r="G247" s="81" t="s">
        <v>17</v>
      </c>
      <c r="H247" s="81">
        <v>7</v>
      </c>
      <c r="I247" s="151">
        <v>98401</v>
      </c>
      <c r="J247" s="83" t="s">
        <v>429</v>
      </c>
      <c r="K247" s="83">
        <v>169190</v>
      </c>
      <c r="L247" s="83"/>
      <c r="M247" s="83"/>
      <c r="N247" s="83"/>
      <c r="O247" s="83"/>
      <c r="P247" s="83">
        <v>2</v>
      </c>
      <c r="Q247" s="83">
        <v>40000</v>
      </c>
      <c r="R247" s="83">
        <v>5</v>
      </c>
      <c r="S247" s="83">
        <v>100000</v>
      </c>
      <c r="T247" s="83">
        <v>1</v>
      </c>
      <c r="U247" s="83">
        <v>9190</v>
      </c>
      <c r="V247" s="83">
        <v>1</v>
      </c>
      <c r="W247" s="83">
        <v>20000</v>
      </c>
      <c r="X247" s="167"/>
      <c r="Y247" s="168"/>
      <c r="Z247" s="168"/>
      <c r="AA247" s="168"/>
      <c r="AB247" s="168"/>
      <c r="AC247" s="168"/>
      <c r="AD247" s="168"/>
      <c r="AE247" s="168"/>
    </row>
    <row r="248" spans="1:256" s="141" customFormat="1" x14ac:dyDescent="0.25">
      <c r="A248" s="138">
        <v>25.7</v>
      </c>
      <c r="B248" s="165" t="s">
        <v>410</v>
      </c>
      <c r="C248" s="110">
        <v>5235020</v>
      </c>
      <c r="D248" s="80" t="s">
        <v>184</v>
      </c>
      <c r="E248" s="80"/>
      <c r="F248" s="110">
        <v>796</v>
      </c>
      <c r="G248" s="81" t="s">
        <v>17</v>
      </c>
      <c r="H248" s="81">
        <v>4</v>
      </c>
      <c r="I248" s="151">
        <v>98401</v>
      </c>
      <c r="J248" s="83" t="s">
        <v>429</v>
      </c>
      <c r="K248" s="83">
        <v>600000</v>
      </c>
      <c r="L248" s="208"/>
      <c r="M248" s="208"/>
      <c r="N248" s="208"/>
      <c r="O248" s="208"/>
      <c r="Q248" s="191"/>
      <c r="R248" s="83">
        <v>1</v>
      </c>
      <c r="S248" s="83">
        <v>50000</v>
      </c>
      <c r="T248" s="83">
        <v>1</v>
      </c>
      <c r="U248" s="83">
        <v>50000</v>
      </c>
      <c r="V248" s="83">
        <v>2</v>
      </c>
      <c r="W248" s="83">
        <v>500000</v>
      </c>
      <c r="X248" s="167"/>
      <c r="Y248" s="168"/>
      <c r="Z248" s="168"/>
      <c r="AA248" s="168"/>
      <c r="AB248" s="168"/>
      <c r="AC248" s="168"/>
      <c r="AD248" s="168"/>
      <c r="AE248" s="168"/>
    </row>
    <row r="249" spans="1:256" s="141" customFormat="1" x14ac:dyDescent="0.25">
      <c r="A249" s="138">
        <v>25.8</v>
      </c>
      <c r="B249" s="165" t="s">
        <v>410</v>
      </c>
      <c r="C249" s="110">
        <v>5235020</v>
      </c>
      <c r="D249" s="80" t="s">
        <v>185</v>
      </c>
      <c r="E249" s="80"/>
      <c r="F249" s="110">
        <v>796</v>
      </c>
      <c r="G249" s="81" t="s">
        <v>17</v>
      </c>
      <c r="H249" s="81">
        <v>2</v>
      </c>
      <c r="I249" s="151">
        <v>98401</v>
      </c>
      <c r="J249" s="83" t="s">
        <v>429</v>
      </c>
      <c r="K249" s="83">
        <v>365000</v>
      </c>
      <c r="L249" s="83"/>
      <c r="M249" s="83"/>
      <c r="N249" s="83"/>
      <c r="O249" s="83"/>
      <c r="P249" s="83"/>
      <c r="Q249" s="83"/>
      <c r="R249" s="83">
        <v>1</v>
      </c>
      <c r="S249" s="83">
        <v>70000</v>
      </c>
      <c r="T249" s="83">
        <v>1</v>
      </c>
      <c r="U249" s="83">
        <v>100000</v>
      </c>
      <c r="V249" s="83">
        <v>3</v>
      </c>
      <c r="W249" s="83">
        <v>195000</v>
      </c>
      <c r="X249" s="167"/>
      <c r="Y249" s="168"/>
      <c r="Z249" s="168"/>
      <c r="AA249" s="168"/>
      <c r="AB249" s="168"/>
      <c r="AC249" s="168"/>
      <c r="AD249" s="168"/>
      <c r="AE249" s="168"/>
    </row>
    <row r="250" spans="1:256" s="141" customFormat="1" x14ac:dyDescent="0.25">
      <c r="A250" s="138">
        <v>25.9</v>
      </c>
      <c r="B250" s="165" t="s">
        <v>410</v>
      </c>
      <c r="C250" s="110">
        <v>5235020</v>
      </c>
      <c r="D250" s="80" t="s">
        <v>186</v>
      </c>
      <c r="E250" s="80"/>
      <c r="F250" s="110">
        <v>796</v>
      </c>
      <c r="G250" s="81" t="s">
        <v>17</v>
      </c>
      <c r="H250" s="81">
        <v>6</v>
      </c>
      <c r="I250" s="151">
        <v>98401</v>
      </c>
      <c r="J250" s="83" t="s">
        <v>429</v>
      </c>
      <c r="K250" s="83">
        <v>138910</v>
      </c>
      <c r="L250" s="83"/>
      <c r="M250" s="83"/>
      <c r="N250" s="83"/>
      <c r="O250" s="83"/>
      <c r="P250" s="83"/>
      <c r="Q250" s="83"/>
      <c r="R250" s="83">
        <v>2</v>
      </c>
      <c r="S250" s="83">
        <v>30000</v>
      </c>
      <c r="T250" s="83">
        <v>5</v>
      </c>
      <c r="U250" s="83">
        <v>51910</v>
      </c>
      <c r="V250" s="83">
        <v>3</v>
      </c>
      <c r="W250" s="83">
        <v>57000</v>
      </c>
      <c r="X250" s="167"/>
      <c r="Y250" s="168"/>
      <c r="Z250" s="168"/>
      <c r="AA250" s="168"/>
      <c r="AB250" s="168"/>
      <c r="AC250" s="168"/>
      <c r="AD250" s="168"/>
      <c r="AE250" s="168"/>
    </row>
    <row r="251" spans="1:256" s="141" customFormat="1" x14ac:dyDescent="0.25">
      <c r="A251" s="138">
        <v>25.1</v>
      </c>
      <c r="B251" s="165" t="s">
        <v>410</v>
      </c>
      <c r="C251" s="110">
        <v>5235020</v>
      </c>
      <c r="D251" s="80" t="s">
        <v>187</v>
      </c>
      <c r="E251" s="80"/>
      <c r="F251" s="110">
        <v>796</v>
      </c>
      <c r="G251" s="81" t="s">
        <v>17</v>
      </c>
      <c r="H251" s="81">
        <v>1</v>
      </c>
      <c r="I251" s="151">
        <v>98401</v>
      </c>
      <c r="J251" s="83" t="s">
        <v>429</v>
      </c>
      <c r="K251" s="83">
        <v>130000</v>
      </c>
      <c r="L251" s="83"/>
      <c r="M251" s="83"/>
      <c r="N251" s="83"/>
      <c r="O251" s="83"/>
      <c r="P251" s="83"/>
      <c r="Q251" s="83"/>
      <c r="R251" s="83"/>
      <c r="S251" s="83"/>
      <c r="T251" s="83">
        <v>1</v>
      </c>
      <c r="U251" s="83">
        <v>65000</v>
      </c>
      <c r="V251" s="83">
        <v>1</v>
      </c>
      <c r="W251" s="83">
        <v>65000</v>
      </c>
      <c r="X251" s="81">
        <v>65000</v>
      </c>
      <c r="Y251" s="168"/>
      <c r="Z251" s="168"/>
      <c r="AA251" s="168"/>
      <c r="AB251" s="168"/>
      <c r="AC251" s="168"/>
      <c r="AD251" s="168"/>
      <c r="AE251" s="168"/>
    </row>
    <row r="252" spans="1:256" s="141" customFormat="1" x14ac:dyDescent="0.25">
      <c r="A252" s="138">
        <v>25.11</v>
      </c>
      <c r="B252" s="165" t="s">
        <v>410</v>
      </c>
      <c r="C252" s="110">
        <v>5235020</v>
      </c>
      <c r="D252" s="80" t="s">
        <v>188</v>
      </c>
      <c r="E252" s="80"/>
      <c r="F252" s="110">
        <v>796</v>
      </c>
      <c r="G252" s="81" t="s">
        <v>17</v>
      </c>
      <c r="H252" s="81">
        <v>3</v>
      </c>
      <c r="I252" s="151">
        <v>98401</v>
      </c>
      <c r="J252" s="83" t="s">
        <v>429</v>
      </c>
      <c r="K252" s="83">
        <v>15000</v>
      </c>
      <c r="L252" s="83"/>
      <c r="M252" s="83"/>
      <c r="N252" s="83"/>
      <c r="O252" s="83"/>
      <c r="P252" s="83">
        <v>1</v>
      </c>
      <c r="Q252" s="83">
        <v>5000</v>
      </c>
      <c r="R252" s="83">
        <v>1</v>
      </c>
      <c r="S252" s="83">
        <v>5000</v>
      </c>
      <c r="T252" s="83">
        <v>1</v>
      </c>
      <c r="U252" s="83">
        <v>5000</v>
      </c>
      <c r="V252" s="83"/>
      <c r="W252" s="83"/>
      <c r="X252" s="167"/>
      <c r="Y252" s="168"/>
      <c r="Z252" s="168"/>
      <c r="AA252" s="168"/>
      <c r="AB252" s="168"/>
      <c r="AC252" s="168"/>
      <c r="AD252" s="168"/>
      <c r="AE252" s="168"/>
    </row>
    <row r="253" spans="1:256" s="141" customFormat="1" x14ac:dyDescent="0.25">
      <c r="A253" s="138">
        <v>25.12</v>
      </c>
      <c r="B253" s="165" t="s">
        <v>410</v>
      </c>
      <c r="C253" s="110">
        <v>5235020</v>
      </c>
      <c r="D253" s="80" t="s">
        <v>189</v>
      </c>
      <c r="E253" s="80"/>
      <c r="F253" s="110">
        <v>796</v>
      </c>
      <c r="G253" s="81" t="s">
        <v>17</v>
      </c>
      <c r="H253" s="81">
        <v>11</v>
      </c>
      <c r="I253" s="151">
        <v>98401</v>
      </c>
      <c r="J253" s="83" t="s">
        <v>429</v>
      </c>
      <c r="K253" s="83">
        <v>275000</v>
      </c>
      <c r="L253" s="83"/>
      <c r="M253" s="83"/>
      <c r="N253" s="83"/>
      <c r="O253" s="83"/>
      <c r="P253" s="83"/>
      <c r="Q253" s="83"/>
      <c r="R253" s="83"/>
      <c r="S253" s="83"/>
      <c r="T253" s="83">
        <v>11</v>
      </c>
      <c r="U253" s="83">
        <v>55000</v>
      </c>
      <c r="V253" s="83">
        <v>4</v>
      </c>
      <c r="W253" s="83">
        <v>220000</v>
      </c>
      <c r="X253" s="167"/>
      <c r="Y253" s="168"/>
      <c r="Z253" s="168"/>
      <c r="AA253" s="168"/>
      <c r="AB253" s="168"/>
      <c r="AC253" s="168"/>
      <c r="AD253" s="168"/>
      <c r="AE253" s="168"/>
    </row>
    <row r="254" spans="1:256" s="141" customFormat="1" x14ac:dyDescent="0.25">
      <c r="A254" s="138">
        <v>25.13</v>
      </c>
      <c r="B254" s="165" t="s">
        <v>410</v>
      </c>
      <c r="C254" s="110">
        <v>5235020</v>
      </c>
      <c r="D254" s="80" t="s">
        <v>190</v>
      </c>
      <c r="E254" s="80"/>
      <c r="F254" s="110">
        <v>796</v>
      </c>
      <c r="G254" s="81" t="s">
        <v>17</v>
      </c>
      <c r="H254" s="81">
        <v>55</v>
      </c>
      <c r="I254" s="151">
        <v>98401</v>
      </c>
      <c r="J254" s="83" t="s">
        <v>429</v>
      </c>
      <c r="K254" s="83">
        <v>27500</v>
      </c>
      <c r="L254" s="83"/>
      <c r="M254" s="83"/>
      <c r="N254" s="83"/>
      <c r="O254" s="83"/>
      <c r="P254" s="83">
        <v>13</v>
      </c>
      <c r="Q254" s="83">
        <v>6500</v>
      </c>
      <c r="R254" s="83">
        <v>14</v>
      </c>
      <c r="S254" s="83">
        <v>7000</v>
      </c>
      <c r="T254" s="83">
        <v>14</v>
      </c>
      <c r="U254" s="83">
        <v>7000</v>
      </c>
      <c r="V254" s="83">
        <v>14</v>
      </c>
      <c r="W254" s="83">
        <v>7000</v>
      </c>
      <c r="X254" s="167"/>
      <c r="Y254" s="168"/>
      <c r="Z254" s="168"/>
      <c r="AA254" s="168"/>
      <c r="AB254" s="168"/>
      <c r="AC254" s="168"/>
      <c r="AD254" s="168"/>
      <c r="AE254" s="168"/>
    </row>
    <row r="255" spans="1:256" s="141" customFormat="1" x14ac:dyDescent="0.25">
      <c r="A255" s="138">
        <v>25.14</v>
      </c>
      <c r="B255" s="165" t="s">
        <v>410</v>
      </c>
      <c r="C255" s="110">
        <v>5235020</v>
      </c>
      <c r="D255" s="80" t="s">
        <v>191</v>
      </c>
      <c r="E255" s="80"/>
      <c r="F255" s="110">
        <v>796</v>
      </c>
      <c r="G255" s="81" t="s">
        <v>17</v>
      </c>
      <c r="H255" s="81">
        <v>65</v>
      </c>
      <c r="I255" s="151">
        <v>98401</v>
      </c>
      <c r="J255" s="83" t="s">
        <v>429</v>
      </c>
      <c r="K255" s="83">
        <v>19500</v>
      </c>
      <c r="L255" s="83"/>
      <c r="M255" s="83"/>
      <c r="N255" s="83"/>
      <c r="O255" s="83"/>
      <c r="P255" s="83">
        <v>16</v>
      </c>
      <c r="Q255" s="83">
        <v>4800</v>
      </c>
      <c r="R255" s="83">
        <v>16</v>
      </c>
      <c r="S255" s="83">
        <v>4800</v>
      </c>
      <c r="T255" s="83">
        <v>16</v>
      </c>
      <c r="U255" s="83">
        <v>4800</v>
      </c>
      <c r="V255" s="83">
        <v>17</v>
      </c>
      <c r="W255" s="83">
        <v>5100</v>
      </c>
      <c r="X255" s="167"/>
      <c r="Y255" s="168"/>
      <c r="Z255" s="168"/>
      <c r="AA255" s="168"/>
      <c r="AB255" s="168"/>
      <c r="AC255" s="168"/>
      <c r="AD255" s="168"/>
      <c r="AE255" s="168"/>
    </row>
    <row r="256" spans="1:256" s="141" customFormat="1" x14ac:dyDescent="0.25">
      <c r="A256" s="138">
        <v>25.15</v>
      </c>
      <c r="B256" s="165" t="s">
        <v>410</v>
      </c>
      <c r="C256" s="110">
        <v>5235020</v>
      </c>
      <c r="D256" s="80" t="s">
        <v>192</v>
      </c>
      <c r="E256" s="80"/>
      <c r="F256" s="110">
        <v>796</v>
      </c>
      <c r="G256" s="81" t="s">
        <v>17</v>
      </c>
      <c r="H256" s="81">
        <v>2</v>
      </c>
      <c r="I256" s="151">
        <v>98401</v>
      </c>
      <c r="J256" s="83" t="s">
        <v>429</v>
      </c>
      <c r="K256" s="83">
        <v>40000</v>
      </c>
      <c r="L256" s="83"/>
      <c r="M256" s="83"/>
      <c r="N256" s="83"/>
      <c r="O256" s="83"/>
      <c r="P256" s="83"/>
      <c r="Q256" s="83"/>
      <c r="R256" s="83"/>
      <c r="S256" s="83"/>
      <c r="T256" s="83">
        <v>2</v>
      </c>
      <c r="U256" s="83">
        <v>40000</v>
      </c>
      <c r="V256" s="83"/>
      <c r="W256" s="83"/>
      <c r="X256" s="167"/>
      <c r="Y256" s="168"/>
      <c r="Z256" s="168"/>
      <c r="AA256" s="168"/>
      <c r="AB256" s="168"/>
      <c r="AC256" s="168"/>
      <c r="AD256" s="168"/>
      <c r="AE256" s="168"/>
    </row>
    <row r="257" spans="1:31" s="141" customFormat="1" x14ac:dyDescent="0.25">
      <c r="A257" s="138">
        <v>25.16</v>
      </c>
      <c r="B257" s="165" t="s">
        <v>410</v>
      </c>
      <c r="C257" s="110">
        <v>5235020</v>
      </c>
      <c r="D257" s="80" t="s">
        <v>193</v>
      </c>
      <c r="E257" s="80"/>
      <c r="F257" s="110">
        <v>796</v>
      </c>
      <c r="G257" s="81" t="s">
        <v>17</v>
      </c>
      <c r="H257" s="81">
        <v>85</v>
      </c>
      <c r="I257" s="151">
        <v>98401</v>
      </c>
      <c r="J257" s="83" t="s">
        <v>429</v>
      </c>
      <c r="K257" s="83">
        <v>76500</v>
      </c>
      <c r="L257" s="83"/>
      <c r="M257" s="83"/>
      <c r="N257" s="83"/>
      <c r="O257" s="83"/>
      <c r="P257" s="83">
        <v>21</v>
      </c>
      <c r="Q257" s="83">
        <v>18900</v>
      </c>
      <c r="R257" s="83">
        <v>21</v>
      </c>
      <c r="S257" s="83">
        <v>18900</v>
      </c>
      <c r="T257" s="83">
        <v>21</v>
      </c>
      <c r="U257" s="83">
        <v>18900</v>
      </c>
      <c r="V257" s="83">
        <v>22</v>
      </c>
      <c r="W257" s="83">
        <v>19800</v>
      </c>
      <c r="X257" s="167"/>
      <c r="Y257" s="168"/>
      <c r="Z257" s="168"/>
      <c r="AA257" s="168"/>
      <c r="AB257" s="168"/>
      <c r="AC257" s="168"/>
      <c r="AD257" s="168"/>
      <c r="AE257" s="168"/>
    </row>
    <row r="258" spans="1:31" s="141" customFormat="1" x14ac:dyDescent="0.25">
      <c r="A258" s="138">
        <v>25.17</v>
      </c>
      <c r="B258" s="165" t="s">
        <v>410</v>
      </c>
      <c r="C258" s="110">
        <v>5235020</v>
      </c>
      <c r="D258" s="80" t="s">
        <v>194</v>
      </c>
      <c r="E258" s="80"/>
      <c r="F258" s="110">
        <v>796</v>
      </c>
      <c r="G258" s="81" t="s">
        <v>17</v>
      </c>
      <c r="H258" s="81">
        <v>3</v>
      </c>
      <c r="I258" s="151">
        <v>98401</v>
      </c>
      <c r="J258" s="83" t="s">
        <v>429</v>
      </c>
      <c r="K258" s="83">
        <v>21000</v>
      </c>
      <c r="L258" s="83"/>
      <c r="M258" s="83"/>
      <c r="N258" s="83"/>
      <c r="O258" s="83"/>
      <c r="P258" s="83">
        <v>1</v>
      </c>
      <c r="Q258" s="83">
        <v>7000</v>
      </c>
      <c r="R258" s="83">
        <v>1</v>
      </c>
      <c r="S258" s="83">
        <v>7000</v>
      </c>
      <c r="T258" s="83">
        <v>1</v>
      </c>
      <c r="U258" s="83">
        <v>7000</v>
      </c>
      <c r="V258" s="83"/>
      <c r="W258" s="83"/>
      <c r="X258" s="167"/>
      <c r="Y258" s="168"/>
      <c r="Z258" s="168"/>
      <c r="AA258" s="168"/>
      <c r="AB258" s="168"/>
      <c r="AC258" s="168"/>
      <c r="AD258" s="168"/>
      <c r="AE258" s="168"/>
    </row>
    <row r="259" spans="1:31" s="141" customFormat="1" x14ac:dyDescent="0.25">
      <c r="A259" s="138">
        <v>25.18</v>
      </c>
      <c r="B259" s="165" t="s">
        <v>410</v>
      </c>
      <c r="C259" s="110">
        <v>5235020</v>
      </c>
      <c r="D259" s="80" t="s">
        <v>195</v>
      </c>
      <c r="E259" s="80"/>
      <c r="F259" s="110">
        <v>796</v>
      </c>
      <c r="G259" s="81" t="s">
        <v>17</v>
      </c>
      <c r="H259" s="81">
        <v>1</v>
      </c>
      <c r="I259" s="151">
        <v>98401</v>
      </c>
      <c r="J259" s="83" t="s">
        <v>429</v>
      </c>
      <c r="K259" s="83">
        <v>20000</v>
      </c>
      <c r="L259" s="83"/>
      <c r="M259" s="83"/>
      <c r="N259" s="83"/>
      <c r="O259" s="83"/>
      <c r="P259" s="83"/>
      <c r="Q259" s="83"/>
      <c r="R259" s="83"/>
      <c r="S259" s="83"/>
      <c r="T259" s="83"/>
      <c r="U259" s="83"/>
      <c r="V259" s="83">
        <v>1</v>
      </c>
      <c r="W259" s="83">
        <v>20000</v>
      </c>
      <c r="X259" s="167"/>
      <c r="Y259" s="168"/>
      <c r="Z259" s="168"/>
      <c r="AA259" s="168"/>
      <c r="AB259" s="168"/>
      <c r="AC259" s="168"/>
      <c r="AD259" s="168"/>
      <c r="AE259" s="168"/>
    </row>
    <row r="260" spans="1:31" s="141" customFormat="1" x14ac:dyDescent="0.25">
      <c r="A260" s="138">
        <v>25.19</v>
      </c>
      <c r="B260" s="165" t="s">
        <v>410</v>
      </c>
      <c r="C260" s="110">
        <v>5235020</v>
      </c>
      <c r="D260" s="80" t="s">
        <v>196</v>
      </c>
      <c r="E260" s="80"/>
      <c r="F260" s="110">
        <v>796</v>
      </c>
      <c r="G260" s="81" t="s">
        <v>17</v>
      </c>
      <c r="H260" s="81">
        <v>20</v>
      </c>
      <c r="I260" s="151">
        <v>98401</v>
      </c>
      <c r="J260" s="83" t="s">
        <v>429</v>
      </c>
      <c r="K260" s="83">
        <v>1242360</v>
      </c>
      <c r="L260" s="83"/>
      <c r="M260" s="83"/>
      <c r="N260" s="83"/>
      <c r="O260" s="83"/>
      <c r="P260" s="83">
        <v>5</v>
      </c>
      <c r="Q260" s="83">
        <v>160000</v>
      </c>
      <c r="R260" s="83"/>
      <c r="S260" s="83"/>
      <c r="T260" s="83">
        <v>11</v>
      </c>
      <c r="U260" s="83">
        <v>362360</v>
      </c>
      <c r="V260" s="83">
        <v>19</v>
      </c>
      <c r="W260" s="83">
        <v>720000</v>
      </c>
      <c r="X260" s="167"/>
      <c r="Y260" s="168"/>
      <c r="Z260" s="168"/>
      <c r="AA260" s="168"/>
      <c r="AB260" s="168"/>
      <c r="AC260" s="168"/>
      <c r="AD260" s="168"/>
      <c r="AE260" s="168"/>
    </row>
    <row r="261" spans="1:31" s="141" customFormat="1" x14ac:dyDescent="0.25">
      <c r="A261" s="138">
        <v>25.2</v>
      </c>
      <c r="B261" s="165" t="s">
        <v>410</v>
      </c>
      <c r="C261" s="110">
        <v>5235020</v>
      </c>
      <c r="D261" s="80" t="s">
        <v>197</v>
      </c>
      <c r="E261" s="80"/>
      <c r="F261" s="110">
        <v>796</v>
      </c>
      <c r="G261" s="81" t="s">
        <v>17</v>
      </c>
      <c r="H261" s="81">
        <v>20</v>
      </c>
      <c r="I261" s="151">
        <v>98401</v>
      </c>
      <c r="J261" s="83" t="s">
        <v>429</v>
      </c>
      <c r="K261" s="83">
        <v>80000</v>
      </c>
      <c r="L261" s="83"/>
      <c r="M261" s="83"/>
      <c r="N261" s="83"/>
      <c r="O261" s="83"/>
      <c r="P261" s="83">
        <v>5</v>
      </c>
      <c r="Q261" s="83">
        <v>20000</v>
      </c>
      <c r="R261" s="191">
        <v>5</v>
      </c>
      <c r="S261" s="83">
        <v>20000</v>
      </c>
      <c r="T261" s="83">
        <v>5</v>
      </c>
      <c r="U261" s="83">
        <v>20000</v>
      </c>
      <c r="V261" s="83">
        <v>5</v>
      </c>
      <c r="W261" s="83">
        <v>20000</v>
      </c>
      <c r="X261" s="167"/>
      <c r="Y261" s="168"/>
      <c r="Z261" s="168"/>
      <c r="AA261" s="168"/>
      <c r="AB261" s="168"/>
      <c r="AC261" s="168"/>
      <c r="AD261" s="168"/>
      <c r="AE261" s="168"/>
    </row>
    <row r="262" spans="1:31" s="141" customFormat="1" x14ac:dyDescent="0.25">
      <c r="A262" s="138">
        <v>25.21</v>
      </c>
      <c r="B262" s="165" t="s">
        <v>410</v>
      </c>
      <c r="C262" s="110">
        <v>5235020</v>
      </c>
      <c r="D262" s="80" t="s">
        <v>198</v>
      </c>
      <c r="E262" s="80"/>
      <c r="F262" s="110">
        <v>796</v>
      </c>
      <c r="G262" s="81" t="s">
        <v>17</v>
      </c>
      <c r="H262" s="81">
        <v>4</v>
      </c>
      <c r="I262" s="151">
        <v>98401</v>
      </c>
      <c r="J262" s="83" t="s">
        <v>429</v>
      </c>
      <c r="K262" s="83">
        <v>8000</v>
      </c>
      <c r="L262" s="83"/>
      <c r="M262" s="83"/>
      <c r="N262" s="83"/>
      <c r="O262" s="83"/>
      <c r="P262" s="83">
        <v>1</v>
      </c>
      <c r="Q262" s="83">
        <v>2000</v>
      </c>
      <c r="R262" s="191">
        <v>1</v>
      </c>
      <c r="S262" s="83">
        <v>2000</v>
      </c>
      <c r="T262" s="83">
        <v>1</v>
      </c>
      <c r="U262" s="83">
        <v>2000</v>
      </c>
      <c r="V262" s="83">
        <v>1</v>
      </c>
      <c r="W262" s="83">
        <v>2000</v>
      </c>
      <c r="X262" s="167"/>
      <c r="Y262" s="168"/>
      <c r="Z262" s="168"/>
      <c r="AA262" s="168"/>
      <c r="AB262" s="168"/>
      <c r="AC262" s="168"/>
      <c r="AD262" s="168"/>
      <c r="AE262" s="168"/>
    </row>
    <row r="263" spans="1:31" s="141" customFormat="1" x14ac:dyDescent="0.25">
      <c r="A263" s="138">
        <v>25.22</v>
      </c>
      <c r="B263" s="165" t="s">
        <v>410</v>
      </c>
      <c r="C263" s="110">
        <v>5235020</v>
      </c>
      <c r="D263" s="80" t="s">
        <v>199</v>
      </c>
      <c r="E263" s="80"/>
      <c r="F263" s="110">
        <v>796</v>
      </c>
      <c r="G263" s="81" t="s">
        <v>17</v>
      </c>
      <c r="H263" s="81">
        <v>700</v>
      </c>
      <c r="I263" s="151">
        <v>98401</v>
      </c>
      <c r="J263" s="83" t="s">
        <v>429</v>
      </c>
      <c r="K263" s="83">
        <v>1400000</v>
      </c>
      <c r="L263" s="83"/>
      <c r="M263" s="83"/>
      <c r="N263" s="83"/>
      <c r="O263" s="83"/>
      <c r="P263" s="83">
        <v>175</v>
      </c>
      <c r="Q263" s="83">
        <v>350000</v>
      </c>
      <c r="R263" s="83">
        <v>175</v>
      </c>
      <c r="S263" s="83">
        <v>350000</v>
      </c>
      <c r="T263" s="83">
        <v>175</v>
      </c>
      <c r="U263" s="83">
        <v>350000</v>
      </c>
      <c r="V263" s="83">
        <v>175</v>
      </c>
      <c r="W263" s="83">
        <v>350000</v>
      </c>
      <c r="X263" s="167"/>
      <c r="Y263" s="168"/>
      <c r="Z263" s="168"/>
      <c r="AA263" s="168"/>
      <c r="AB263" s="168"/>
      <c r="AC263" s="168"/>
      <c r="AD263" s="168"/>
      <c r="AE263" s="168"/>
    </row>
    <row r="264" spans="1:31" s="141" customFormat="1" x14ac:dyDescent="0.25">
      <c r="A264" s="138">
        <v>25.23</v>
      </c>
      <c r="B264" s="165" t="s">
        <v>410</v>
      </c>
      <c r="C264" s="110">
        <v>5235020</v>
      </c>
      <c r="D264" s="80" t="s">
        <v>200</v>
      </c>
      <c r="E264" s="80"/>
      <c r="F264" s="110">
        <v>796</v>
      </c>
      <c r="G264" s="81" t="s">
        <v>17</v>
      </c>
      <c r="H264" s="81">
        <v>35</v>
      </c>
      <c r="I264" s="151">
        <v>98401</v>
      </c>
      <c r="J264" s="83" t="s">
        <v>429</v>
      </c>
      <c r="K264" s="83">
        <v>70000</v>
      </c>
      <c r="L264" s="83"/>
      <c r="M264" s="83"/>
      <c r="N264" s="83"/>
      <c r="O264" s="83"/>
      <c r="P264" s="83"/>
      <c r="Q264" s="83"/>
      <c r="R264" s="191">
        <v>35</v>
      </c>
      <c r="S264" s="83">
        <v>70000</v>
      </c>
      <c r="T264" s="83"/>
      <c r="U264" s="83"/>
      <c r="V264" s="83"/>
      <c r="W264" s="83"/>
      <c r="X264" s="167"/>
      <c r="Y264" s="168"/>
      <c r="Z264" s="168"/>
      <c r="AA264" s="168"/>
      <c r="AB264" s="168"/>
      <c r="AC264" s="168"/>
      <c r="AD264" s="168"/>
      <c r="AE264" s="168"/>
    </row>
    <row r="265" spans="1:31" s="141" customFormat="1" x14ac:dyDescent="0.25">
      <c r="A265" s="138">
        <v>25.24</v>
      </c>
      <c r="B265" s="165" t="s">
        <v>410</v>
      </c>
      <c r="C265" s="110">
        <v>5235020</v>
      </c>
      <c r="D265" s="80" t="s">
        <v>201</v>
      </c>
      <c r="E265" s="80"/>
      <c r="F265" s="110">
        <v>796</v>
      </c>
      <c r="G265" s="81" t="s">
        <v>17</v>
      </c>
      <c r="H265" s="81">
        <v>21</v>
      </c>
      <c r="I265" s="151">
        <v>98401</v>
      </c>
      <c r="J265" s="83" t="s">
        <v>429</v>
      </c>
      <c r="K265" s="83">
        <v>2068370</v>
      </c>
      <c r="L265" s="83"/>
      <c r="M265" s="83"/>
      <c r="N265" s="83"/>
      <c r="O265" s="83"/>
      <c r="P265" s="83"/>
      <c r="Q265" s="83"/>
      <c r="R265" s="191"/>
      <c r="S265" s="83"/>
      <c r="T265" s="83">
        <v>20</v>
      </c>
      <c r="U265" s="83">
        <v>568370</v>
      </c>
      <c r="V265" s="83">
        <v>1</v>
      </c>
      <c r="W265" s="83">
        <v>1500000</v>
      </c>
      <c r="X265" s="167"/>
      <c r="Y265" s="168"/>
      <c r="Z265" s="168"/>
      <c r="AA265" s="168"/>
      <c r="AB265" s="168"/>
      <c r="AC265" s="168"/>
      <c r="AD265" s="168"/>
      <c r="AE265" s="168"/>
    </row>
    <row r="266" spans="1:31" s="141" customFormat="1" x14ac:dyDescent="0.25">
      <c r="A266" s="138">
        <v>25.25</v>
      </c>
      <c r="B266" s="165" t="s">
        <v>410</v>
      </c>
      <c r="C266" s="110">
        <v>5235020</v>
      </c>
      <c r="D266" s="80" t="s">
        <v>202</v>
      </c>
      <c r="E266" s="80"/>
      <c r="F266" s="110">
        <v>796</v>
      </c>
      <c r="G266" s="81" t="s">
        <v>17</v>
      </c>
      <c r="H266" s="81">
        <v>4</v>
      </c>
      <c r="I266" s="151">
        <v>98401</v>
      </c>
      <c r="J266" s="83" t="s">
        <v>429</v>
      </c>
      <c r="K266" s="83">
        <v>14000</v>
      </c>
      <c r="L266" s="83"/>
      <c r="M266" s="83"/>
      <c r="N266" s="83"/>
      <c r="O266" s="83"/>
      <c r="P266" s="83"/>
      <c r="Q266" s="83"/>
      <c r="R266" s="191"/>
      <c r="S266" s="83"/>
      <c r="T266" s="83">
        <v>4</v>
      </c>
      <c r="U266" s="83">
        <v>14000</v>
      </c>
      <c r="V266" s="83"/>
      <c r="W266" s="83"/>
      <c r="X266" s="167"/>
      <c r="Y266" s="168"/>
      <c r="Z266" s="168"/>
      <c r="AA266" s="168"/>
      <c r="AB266" s="168"/>
      <c r="AC266" s="168"/>
      <c r="AD266" s="168"/>
      <c r="AE266" s="168"/>
    </row>
    <row r="267" spans="1:31" s="141" customFormat="1" x14ac:dyDescent="0.25">
      <c r="A267" s="138">
        <v>25.26</v>
      </c>
      <c r="B267" s="165" t="s">
        <v>410</v>
      </c>
      <c r="C267" s="110">
        <v>5235020</v>
      </c>
      <c r="D267" s="80" t="s">
        <v>203</v>
      </c>
      <c r="E267" s="80"/>
      <c r="F267" s="110">
        <v>796</v>
      </c>
      <c r="G267" s="81" t="s">
        <v>17</v>
      </c>
      <c r="H267" s="81">
        <v>1</v>
      </c>
      <c r="I267" s="151">
        <v>98401</v>
      </c>
      <c r="J267" s="83" t="s">
        <v>429</v>
      </c>
      <c r="K267" s="83">
        <v>65000</v>
      </c>
      <c r="L267" s="83"/>
      <c r="M267" s="83"/>
      <c r="N267" s="83"/>
      <c r="O267" s="83"/>
      <c r="P267" s="83"/>
      <c r="Q267" s="83"/>
      <c r="R267" s="191"/>
      <c r="S267" s="83"/>
      <c r="T267" s="83">
        <v>1</v>
      </c>
      <c r="U267" s="83">
        <v>65000</v>
      </c>
      <c r="V267" s="83"/>
      <c r="W267" s="83"/>
      <c r="X267" s="167"/>
      <c r="Y267" s="168"/>
      <c r="Z267" s="168"/>
      <c r="AA267" s="168"/>
      <c r="AB267" s="168"/>
      <c r="AC267" s="168"/>
      <c r="AD267" s="168"/>
      <c r="AE267" s="168"/>
    </row>
    <row r="268" spans="1:31" s="141" customFormat="1" x14ac:dyDescent="0.25">
      <c r="A268" s="138">
        <v>25.27</v>
      </c>
      <c r="B268" s="165" t="s">
        <v>410</v>
      </c>
      <c r="C268" s="110">
        <v>5235020</v>
      </c>
      <c r="D268" s="80" t="s">
        <v>204</v>
      </c>
      <c r="E268" s="80"/>
      <c r="F268" s="110">
        <v>796</v>
      </c>
      <c r="G268" s="81" t="s">
        <v>17</v>
      </c>
      <c r="H268" s="81">
        <v>1</v>
      </c>
      <c r="I268" s="151">
        <v>98401</v>
      </c>
      <c r="J268" s="83" t="s">
        <v>429</v>
      </c>
      <c r="K268" s="83">
        <v>5000</v>
      </c>
      <c r="L268" s="83"/>
      <c r="M268" s="83"/>
      <c r="N268" s="83"/>
      <c r="O268" s="83"/>
      <c r="P268" s="83"/>
      <c r="Q268" s="83"/>
      <c r="R268" s="191"/>
      <c r="S268" s="83"/>
      <c r="T268" s="83">
        <v>1</v>
      </c>
      <c r="U268" s="83">
        <v>5000</v>
      </c>
      <c r="V268" s="83"/>
      <c r="W268" s="83"/>
      <c r="X268" s="167"/>
      <c r="Y268" s="168"/>
      <c r="Z268" s="168"/>
      <c r="AA268" s="168"/>
      <c r="AB268" s="168"/>
      <c r="AC268" s="168"/>
      <c r="AD268" s="168"/>
      <c r="AE268" s="168"/>
    </row>
    <row r="269" spans="1:31" s="141" customFormat="1" x14ac:dyDescent="0.25">
      <c r="A269" s="138">
        <v>25.28</v>
      </c>
      <c r="B269" s="165" t="s">
        <v>410</v>
      </c>
      <c r="C269" s="110">
        <v>5235020</v>
      </c>
      <c r="D269" s="80" t="s">
        <v>205</v>
      </c>
      <c r="E269" s="80"/>
      <c r="F269" s="110">
        <v>796</v>
      </c>
      <c r="G269" s="81" t="s">
        <v>17</v>
      </c>
      <c r="H269" s="81">
        <v>3</v>
      </c>
      <c r="I269" s="151">
        <v>98401</v>
      </c>
      <c r="J269" s="83" t="s">
        <v>429</v>
      </c>
      <c r="K269" s="83">
        <v>25170</v>
      </c>
      <c r="L269" s="83"/>
      <c r="M269" s="83"/>
      <c r="N269" s="83"/>
      <c r="O269" s="83"/>
      <c r="P269" s="83"/>
      <c r="Q269" s="83"/>
      <c r="R269" s="191"/>
      <c r="S269" s="83"/>
      <c r="T269" s="83">
        <v>3</v>
      </c>
      <c r="U269" s="83">
        <v>25170</v>
      </c>
      <c r="V269" s="83"/>
      <c r="W269" s="83"/>
      <c r="X269" s="167"/>
      <c r="Y269" s="168"/>
      <c r="Z269" s="168"/>
      <c r="AA269" s="168"/>
      <c r="AB269" s="168"/>
      <c r="AC269" s="168"/>
      <c r="AD269" s="168"/>
      <c r="AE269" s="168"/>
    </row>
    <row r="270" spans="1:31" s="141" customFormat="1" x14ac:dyDescent="0.25">
      <c r="A270" s="138">
        <v>25.29</v>
      </c>
      <c r="B270" s="165" t="s">
        <v>410</v>
      </c>
      <c r="C270" s="110">
        <v>5235020</v>
      </c>
      <c r="D270" s="80" t="s">
        <v>206</v>
      </c>
      <c r="E270" s="80"/>
      <c r="F270" s="110">
        <v>796</v>
      </c>
      <c r="G270" s="81" t="s">
        <v>17</v>
      </c>
      <c r="H270" s="81">
        <v>1</v>
      </c>
      <c r="I270" s="151">
        <v>98401</v>
      </c>
      <c r="J270" s="83" t="s">
        <v>429</v>
      </c>
      <c r="K270" s="83">
        <v>25000</v>
      </c>
      <c r="L270" s="83"/>
      <c r="M270" s="83"/>
      <c r="N270" s="83"/>
      <c r="O270" s="83"/>
      <c r="P270" s="83"/>
      <c r="Q270" s="83"/>
      <c r="R270" s="191"/>
      <c r="S270" s="83"/>
      <c r="T270" s="83">
        <v>1</v>
      </c>
      <c r="U270" s="83">
        <v>25000</v>
      </c>
      <c r="V270" s="83"/>
      <c r="W270" s="83"/>
      <c r="X270" s="167"/>
      <c r="Y270" s="168"/>
      <c r="Z270" s="168"/>
      <c r="AA270" s="168"/>
      <c r="AB270" s="168"/>
      <c r="AC270" s="168"/>
      <c r="AD270" s="168"/>
      <c r="AE270" s="168"/>
    </row>
    <row r="271" spans="1:31" s="141" customFormat="1" x14ac:dyDescent="0.25">
      <c r="A271" s="138">
        <v>25.3</v>
      </c>
      <c r="B271" s="165" t="s">
        <v>410</v>
      </c>
      <c r="C271" s="110">
        <v>5235020</v>
      </c>
      <c r="D271" s="80" t="s">
        <v>207</v>
      </c>
      <c r="E271" s="80"/>
      <c r="F271" s="110">
        <v>796</v>
      </c>
      <c r="G271" s="81" t="s">
        <v>17</v>
      </c>
      <c r="H271" s="81">
        <v>1</v>
      </c>
      <c r="I271" s="151">
        <v>98401</v>
      </c>
      <c r="J271" s="83" t="s">
        <v>429</v>
      </c>
      <c r="K271" s="83">
        <v>8000</v>
      </c>
      <c r="L271" s="83"/>
      <c r="M271" s="83"/>
      <c r="N271" s="83"/>
      <c r="O271" s="83"/>
      <c r="P271" s="83"/>
      <c r="Q271" s="83"/>
      <c r="R271" s="191"/>
      <c r="S271" s="83"/>
      <c r="T271" s="83">
        <v>1</v>
      </c>
      <c r="U271" s="83">
        <v>8000</v>
      </c>
      <c r="V271" s="83"/>
      <c r="W271" s="83"/>
      <c r="X271" s="167"/>
      <c r="Y271" s="168"/>
      <c r="Z271" s="168"/>
      <c r="AA271" s="168"/>
      <c r="AB271" s="168"/>
      <c r="AC271" s="168"/>
      <c r="AD271" s="168"/>
      <c r="AE271" s="168"/>
    </row>
    <row r="272" spans="1:31" s="141" customFormat="1" x14ac:dyDescent="0.25">
      <c r="A272" s="138">
        <v>25.31</v>
      </c>
      <c r="B272" s="165" t="s">
        <v>426</v>
      </c>
      <c r="C272" s="110">
        <v>2930010</v>
      </c>
      <c r="D272" s="80" t="s">
        <v>335</v>
      </c>
      <c r="E272" s="80"/>
      <c r="F272" s="110">
        <v>796</v>
      </c>
      <c r="G272" s="81" t="s">
        <v>17</v>
      </c>
      <c r="H272" s="81">
        <v>6</v>
      </c>
      <c r="I272" s="151">
        <v>98401</v>
      </c>
      <c r="J272" s="83" t="s">
        <v>429</v>
      </c>
      <c r="K272" s="83">
        <v>52600</v>
      </c>
      <c r="L272" s="83"/>
      <c r="M272" s="83"/>
      <c r="N272" s="83"/>
      <c r="O272" s="83"/>
      <c r="P272" s="83"/>
      <c r="Q272" s="83"/>
      <c r="R272" s="191"/>
      <c r="S272" s="83"/>
      <c r="T272" s="83">
        <v>4</v>
      </c>
      <c r="U272" s="83">
        <v>52600</v>
      </c>
      <c r="V272" s="83"/>
      <c r="W272" s="83"/>
      <c r="X272" s="167"/>
      <c r="Y272" s="168"/>
      <c r="Z272" s="168"/>
      <c r="AA272" s="168"/>
      <c r="AB272" s="168"/>
      <c r="AC272" s="168"/>
      <c r="AD272" s="168"/>
      <c r="AE272" s="168"/>
    </row>
    <row r="273" spans="1:31" s="141" customFormat="1" x14ac:dyDescent="0.25">
      <c r="A273" s="138">
        <v>25.32</v>
      </c>
      <c r="B273" s="165" t="s">
        <v>426</v>
      </c>
      <c r="C273" s="110">
        <v>3320000</v>
      </c>
      <c r="D273" s="80" t="s">
        <v>208</v>
      </c>
      <c r="E273" s="80"/>
      <c r="F273" s="110">
        <v>796</v>
      </c>
      <c r="G273" s="81" t="s">
        <v>17</v>
      </c>
      <c r="H273" s="81">
        <v>1</v>
      </c>
      <c r="I273" s="151">
        <v>98401</v>
      </c>
      <c r="J273" s="83" t="s">
        <v>429</v>
      </c>
      <c r="K273" s="83">
        <v>35000</v>
      </c>
      <c r="L273" s="83"/>
      <c r="M273" s="83"/>
      <c r="N273" s="83"/>
      <c r="O273" s="83"/>
      <c r="P273" s="83"/>
      <c r="Q273" s="83"/>
      <c r="R273" s="191"/>
      <c r="S273" s="83"/>
      <c r="T273" s="83">
        <v>1</v>
      </c>
      <c r="U273" s="83">
        <v>35000</v>
      </c>
      <c r="V273" s="83"/>
      <c r="W273" s="83"/>
      <c r="X273" s="167"/>
      <c r="Y273" s="168"/>
      <c r="Z273" s="168"/>
      <c r="AA273" s="168"/>
      <c r="AB273" s="168"/>
      <c r="AC273" s="168"/>
      <c r="AD273" s="168"/>
      <c r="AE273" s="168"/>
    </row>
    <row r="274" spans="1:31" s="141" customFormat="1" x14ac:dyDescent="0.25">
      <c r="A274" s="138">
        <v>25.33</v>
      </c>
      <c r="B274" s="165" t="s">
        <v>427</v>
      </c>
      <c r="C274" s="110">
        <v>3230020</v>
      </c>
      <c r="D274" s="80" t="s">
        <v>209</v>
      </c>
      <c r="E274" s="80"/>
      <c r="F274" s="110">
        <v>796</v>
      </c>
      <c r="G274" s="81" t="s">
        <v>17</v>
      </c>
      <c r="H274" s="81">
        <v>1</v>
      </c>
      <c r="I274" s="151">
        <v>98401</v>
      </c>
      <c r="J274" s="83" t="s">
        <v>429</v>
      </c>
      <c r="K274" s="83">
        <v>2990</v>
      </c>
      <c r="L274" s="83"/>
      <c r="M274" s="83"/>
      <c r="N274" s="83"/>
      <c r="O274" s="83"/>
      <c r="P274" s="83"/>
      <c r="Q274" s="83"/>
      <c r="R274" s="191"/>
      <c r="S274" s="83"/>
      <c r="T274" s="83">
        <v>1</v>
      </c>
      <c r="U274" s="83">
        <v>2990</v>
      </c>
      <c r="V274" s="83"/>
      <c r="W274" s="83"/>
      <c r="X274" s="167"/>
      <c r="Y274" s="168"/>
      <c r="Z274" s="168"/>
      <c r="AA274" s="168"/>
      <c r="AB274" s="168"/>
      <c r="AC274" s="168"/>
      <c r="AD274" s="168"/>
      <c r="AE274" s="168"/>
    </row>
    <row r="275" spans="1:31" s="141" customFormat="1" x14ac:dyDescent="0.25">
      <c r="A275" s="138">
        <v>25.34</v>
      </c>
      <c r="B275" s="165" t="s">
        <v>427</v>
      </c>
      <c r="C275" s="110">
        <v>5235020</v>
      </c>
      <c r="D275" s="80" t="s">
        <v>210</v>
      </c>
      <c r="E275" s="80"/>
      <c r="F275" s="110">
        <v>796</v>
      </c>
      <c r="G275" s="81" t="s">
        <v>17</v>
      </c>
      <c r="H275" s="81">
        <v>1</v>
      </c>
      <c r="I275" s="151">
        <v>98401</v>
      </c>
      <c r="J275" s="83" t="s">
        <v>429</v>
      </c>
      <c r="K275" s="83">
        <v>15600</v>
      </c>
      <c r="L275" s="83"/>
      <c r="M275" s="83"/>
      <c r="N275" s="83"/>
      <c r="O275" s="83"/>
      <c r="P275" s="83"/>
      <c r="Q275" s="83"/>
      <c r="R275" s="191"/>
      <c r="S275" s="83"/>
      <c r="T275" s="83">
        <v>1</v>
      </c>
      <c r="U275" s="83">
        <v>15600</v>
      </c>
      <c r="V275" s="83"/>
      <c r="W275" s="83"/>
      <c r="X275" s="167"/>
      <c r="Y275" s="168"/>
      <c r="Z275" s="168"/>
      <c r="AA275" s="168"/>
      <c r="AB275" s="168"/>
      <c r="AC275" s="168"/>
      <c r="AD275" s="168"/>
      <c r="AE275" s="168"/>
    </row>
    <row r="276" spans="1:31" s="141" customFormat="1" x14ac:dyDescent="0.25">
      <c r="A276" s="138">
        <v>25.35</v>
      </c>
      <c r="B276" s="165" t="s">
        <v>427</v>
      </c>
      <c r="C276" s="110">
        <v>5235020</v>
      </c>
      <c r="D276" s="80" t="s">
        <v>330</v>
      </c>
      <c r="E276" s="80"/>
      <c r="F276" s="110">
        <v>796</v>
      </c>
      <c r="G276" s="81" t="s">
        <v>17</v>
      </c>
      <c r="H276" s="81">
        <v>2</v>
      </c>
      <c r="I276" s="151">
        <v>98401</v>
      </c>
      <c r="J276" s="83" t="s">
        <v>429</v>
      </c>
      <c r="K276" s="83">
        <v>28200</v>
      </c>
      <c r="L276" s="83"/>
      <c r="M276" s="83"/>
      <c r="N276" s="83"/>
      <c r="O276" s="83"/>
      <c r="P276" s="83"/>
      <c r="Q276" s="83"/>
      <c r="R276" s="191"/>
      <c r="S276" s="83"/>
      <c r="T276" s="83">
        <v>2</v>
      </c>
      <c r="U276" s="83">
        <v>28200</v>
      </c>
      <c r="V276" s="83"/>
      <c r="W276" s="83"/>
      <c r="X276" s="167"/>
      <c r="Y276" s="168"/>
      <c r="Z276" s="168"/>
      <c r="AA276" s="168"/>
      <c r="AB276" s="168"/>
      <c r="AC276" s="168"/>
      <c r="AD276" s="168"/>
      <c r="AE276" s="168"/>
    </row>
    <row r="277" spans="1:31" s="141" customFormat="1" x14ac:dyDescent="0.25">
      <c r="A277" s="138">
        <v>25.36</v>
      </c>
      <c r="B277" s="165" t="s">
        <v>427</v>
      </c>
      <c r="C277" s="110">
        <v>3221000</v>
      </c>
      <c r="D277" s="80" t="s">
        <v>332</v>
      </c>
      <c r="E277" s="80"/>
      <c r="F277" s="110">
        <v>796</v>
      </c>
      <c r="G277" s="81" t="s">
        <v>17</v>
      </c>
      <c r="H277" s="81">
        <v>7</v>
      </c>
      <c r="I277" s="151">
        <v>98401</v>
      </c>
      <c r="J277" s="83" t="s">
        <v>429</v>
      </c>
      <c r="K277" s="83">
        <v>95000</v>
      </c>
      <c r="L277" s="83"/>
      <c r="M277" s="83"/>
      <c r="N277" s="83"/>
      <c r="O277" s="83"/>
      <c r="P277" s="83"/>
      <c r="Q277" s="83"/>
      <c r="R277" s="191"/>
      <c r="S277" s="83"/>
      <c r="T277" s="83">
        <v>7</v>
      </c>
      <c r="U277" s="83">
        <v>95000</v>
      </c>
      <c r="V277" s="83"/>
      <c r="W277" s="83"/>
      <c r="X277" s="167"/>
      <c r="Y277" s="168"/>
      <c r="Z277" s="168"/>
      <c r="AA277" s="168"/>
      <c r="AB277" s="168"/>
      <c r="AC277" s="168"/>
      <c r="AD277" s="168"/>
      <c r="AE277" s="168"/>
    </row>
    <row r="278" spans="1:31" s="141" customFormat="1" x14ac:dyDescent="0.25">
      <c r="A278" s="138">
        <v>25.37</v>
      </c>
      <c r="B278" s="165" t="s">
        <v>427</v>
      </c>
      <c r="C278" s="110">
        <v>3221000</v>
      </c>
      <c r="D278" s="80" t="s">
        <v>349</v>
      </c>
      <c r="E278" s="80"/>
      <c r="F278" s="110">
        <v>796</v>
      </c>
      <c r="G278" s="81" t="s">
        <v>17</v>
      </c>
      <c r="H278" s="81">
        <v>3</v>
      </c>
      <c r="I278" s="151">
        <v>98401</v>
      </c>
      <c r="J278" s="83" t="s">
        <v>429</v>
      </c>
      <c r="K278" s="83">
        <v>95000</v>
      </c>
      <c r="L278" s="83"/>
      <c r="M278" s="83"/>
      <c r="N278" s="83"/>
      <c r="O278" s="83"/>
      <c r="P278" s="83"/>
      <c r="Q278" s="83"/>
      <c r="R278" s="191"/>
      <c r="S278" s="83"/>
      <c r="T278" s="83">
        <v>3</v>
      </c>
      <c r="U278" s="83">
        <v>95000</v>
      </c>
      <c r="V278" s="83"/>
      <c r="W278" s="83"/>
      <c r="X278" s="167"/>
      <c r="Y278" s="168"/>
      <c r="Z278" s="168"/>
      <c r="AA278" s="168"/>
      <c r="AB278" s="168"/>
      <c r="AC278" s="168"/>
      <c r="AD278" s="168"/>
      <c r="AE278" s="168"/>
    </row>
    <row r="279" spans="1:31" s="141" customFormat="1" x14ac:dyDescent="0.25">
      <c r="A279" s="138">
        <v>25.38</v>
      </c>
      <c r="B279" s="165" t="s">
        <v>427</v>
      </c>
      <c r="C279" s="110">
        <v>3221000</v>
      </c>
      <c r="D279" s="80" t="s">
        <v>340</v>
      </c>
      <c r="E279" s="80"/>
      <c r="F279" s="110">
        <v>796</v>
      </c>
      <c r="G279" s="81" t="s">
        <v>17</v>
      </c>
      <c r="H279" s="81">
        <v>3</v>
      </c>
      <c r="I279" s="151">
        <v>98401</v>
      </c>
      <c r="J279" s="83" t="s">
        <v>429</v>
      </c>
      <c r="K279" s="83">
        <v>1710</v>
      </c>
      <c r="L279" s="83"/>
      <c r="M279" s="83"/>
      <c r="N279" s="83"/>
      <c r="O279" s="83"/>
      <c r="P279" s="83"/>
      <c r="Q279" s="83"/>
      <c r="R279" s="191"/>
      <c r="S279" s="83"/>
      <c r="T279" s="83">
        <v>3</v>
      </c>
      <c r="U279" s="83">
        <v>1710</v>
      </c>
      <c r="V279" s="83"/>
      <c r="W279" s="83"/>
      <c r="X279" s="167"/>
      <c r="Y279" s="168"/>
      <c r="Z279" s="168"/>
      <c r="AA279" s="168"/>
      <c r="AB279" s="168"/>
      <c r="AC279" s="168"/>
      <c r="AD279" s="168"/>
      <c r="AE279" s="168"/>
    </row>
    <row r="280" spans="1:31" s="141" customFormat="1" x14ac:dyDescent="0.25">
      <c r="A280" s="138">
        <v>25.39</v>
      </c>
      <c r="B280" s="165" t="s">
        <v>427</v>
      </c>
      <c r="C280" s="110">
        <v>3221000</v>
      </c>
      <c r="D280" s="80" t="s">
        <v>341</v>
      </c>
      <c r="E280" s="80"/>
      <c r="F280" s="110">
        <v>796</v>
      </c>
      <c r="G280" s="81" t="s">
        <v>17</v>
      </c>
      <c r="H280" s="81">
        <v>1</v>
      </c>
      <c r="I280" s="151">
        <v>98401</v>
      </c>
      <c r="J280" s="83" t="s">
        <v>429</v>
      </c>
      <c r="K280" s="83">
        <v>1050</v>
      </c>
      <c r="L280" s="83"/>
      <c r="M280" s="83"/>
      <c r="N280" s="83"/>
      <c r="O280" s="83"/>
      <c r="P280" s="83"/>
      <c r="Q280" s="83"/>
      <c r="R280" s="191"/>
      <c r="S280" s="83"/>
      <c r="T280" s="83">
        <v>1</v>
      </c>
      <c r="U280" s="83">
        <v>1050</v>
      </c>
      <c r="V280" s="83"/>
      <c r="W280" s="83"/>
      <c r="X280" s="167"/>
      <c r="Y280" s="168"/>
      <c r="Z280" s="168"/>
      <c r="AA280" s="168"/>
      <c r="AB280" s="168"/>
      <c r="AC280" s="168"/>
      <c r="AD280" s="168"/>
      <c r="AE280" s="168"/>
    </row>
    <row r="281" spans="1:31" s="141" customFormat="1" x14ac:dyDescent="0.25">
      <c r="A281" s="138">
        <v>25.4</v>
      </c>
      <c r="B281" s="165" t="s">
        <v>427</v>
      </c>
      <c r="C281" s="110">
        <v>3221000</v>
      </c>
      <c r="D281" s="80" t="s">
        <v>207</v>
      </c>
      <c r="E281" s="80"/>
      <c r="F281" s="110">
        <v>796</v>
      </c>
      <c r="G281" s="81" t="s">
        <v>17</v>
      </c>
      <c r="H281" s="81">
        <v>2</v>
      </c>
      <c r="I281" s="151">
        <v>98401</v>
      </c>
      <c r="J281" s="83" t="s">
        <v>429</v>
      </c>
      <c r="K281" s="83">
        <v>11980</v>
      </c>
      <c r="L281" s="83"/>
      <c r="M281" s="83"/>
      <c r="N281" s="83"/>
      <c r="O281" s="83"/>
      <c r="P281" s="83"/>
      <c r="Q281" s="83"/>
      <c r="R281" s="191"/>
      <c r="S281" s="83"/>
      <c r="T281" s="83">
        <v>2</v>
      </c>
      <c r="U281" s="83">
        <v>11980</v>
      </c>
      <c r="V281" s="83"/>
      <c r="W281" s="83"/>
      <c r="X281" s="167"/>
      <c r="Y281" s="168"/>
      <c r="Z281" s="168"/>
      <c r="AA281" s="168"/>
      <c r="AB281" s="168"/>
      <c r="AC281" s="168"/>
      <c r="AD281" s="168"/>
      <c r="AE281" s="168"/>
    </row>
    <row r="282" spans="1:31" s="141" customFormat="1" x14ac:dyDescent="0.25">
      <c r="A282" s="138">
        <v>25.41</v>
      </c>
      <c r="B282" s="165" t="s">
        <v>427</v>
      </c>
      <c r="C282" s="110">
        <v>3320000</v>
      </c>
      <c r="D282" s="80" t="s">
        <v>342</v>
      </c>
      <c r="E282" s="80"/>
      <c r="F282" s="110">
        <v>796</v>
      </c>
      <c r="G282" s="81" t="s">
        <v>17</v>
      </c>
      <c r="H282" s="81">
        <v>3</v>
      </c>
      <c r="I282" s="151">
        <v>98401</v>
      </c>
      <c r="J282" s="83" t="s">
        <v>429</v>
      </c>
      <c r="K282" s="83">
        <v>17070</v>
      </c>
      <c r="L282" s="83"/>
      <c r="M282" s="83"/>
      <c r="N282" s="83"/>
      <c r="O282" s="83"/>
      <c r="P282" s="83"/>
      <c r="Q282" s="83"/>
      <c r="R282" s="191"/>
      <c r="S282" s="83"/>
      <c r="T282" s="83">
        <v>3</v>
      </c>
      <c r="U282" s="83">
        <v>17070</v>
      </c>
      <c r="V282" s="83"/>
      <c r="W282" s="83"/>
      <c r="X282" s="167"/>
      <c r="Y282" s="168"/>
      <c r="Z282" s="168"/>
      <c r="AA282" s="168"/>
      <c r="AB282" s="168"/>
      <c r="AC282" s="168"/>
      <c r="AD282" s="168"/>
      <c r="AE282" s="168"/>
    </row>
    <row r="283" spans="1:31" s="141" customFormat="1" x14ac:dyDescent="0.25">
      <c r="A283" s="138">
        <v>25.42</v>
      </c>
      <c r="B283" s="165" t="s">
        <v>427</v>
      </c>
      <c r="C283" s="110">
        <v>2930010</v>
      </c>
      <c r="D283" s="80" t="s">
        <v>345</v>
      </c>
      <c r="E283" s="80"/>
      <c r="F283" s="110">
        <v>796</v>
      </c>
      <c r="G283" s="81" t="s">
        <v>17</v>
      </c>
      <c r="H283" s="81">
        <v>3</v>
      </c>
      <c r="I283" s="151">
        <v>98401</v>
      </c>
      <c r="J283" s="83" t="s">
        <v>429</v>
      </c>
      <c r="K283" s="83">
        <v>4970</v>
      </c>
      <c r="L283" s="83"/>
      <c r="M283" s="83"/>
      <c r="N283" s="83"/>
      <c r="O283" s="83"/>
      <c r="P283" s="83"/>
      <c r="Q283" s="83"/>
      <c r="R283" s="191"/>
      <c r="S283" s="83"/>
      <c r="T283" s="83">
        <v>3</v>
      </c>
      <c r="U283" s="83">
        <v>4970</v>
      </c>
      <c r="V283" s="83"/>
      <c r="W283" s="83"/>
      <c r="X283" s="167"/>
      <c r="Y283" s="168"/>
      <c r="Z283" s="168"/>
      <c r="AA283" s="168"/>
      <c r="AB283" s="168"/>
      <c r="AC283" s="168"/>
      <c r="AD283" s="168"/>
      <c r="AE283" s="168"/>
    </row>
    <row r="284" spans="1:31" s="141" customFormat="1" x14ac:dyDescent="0.25">
      <c r="A284" s="138">
        <v>25.43</v>
      </c>
      <c r="B284" s="165" t="s">
        <v>427</v>
      </c>
      <c r="C284" s="110">
        <v>3320000</v>
      </c>
      <c r="D284" s="80" t="s">
        <v>347</v>
      </c>
      <c r="E284" s="80"/>
      <c r="F284" s="110">
        <v>796</v>
      </c>
      <c r="G284" s="81" t="s">
        <v>17</v>
      </c>
      <c r="H284" s="81">
        <v>1</v>
      </c>
      <c r="I284" s="151">
        <v>98401</v>
      </c>
      <c r="J284" s="83" t="s">
        <v>429</v>
      </c>
      <c r="K284" s="83">
        <v>34000</v>
      </c>
      <c r="L284" s="83"/>
      <c r="M284" s="83"/>
      <c r="N284" s="83"/>
      <c r="O284" s="83"/>
      <c r="P284" s="83"/>
      <c r="Q284" s="83"/>
      <c r="R284" s="191"/>
      <c r="S284" s="83"/>
      <c r="T284" s="83">
        <v>1</v>
      </c>
      <c r="U284" s="83">
        <v>34000</v>
      </c>
      <c r="V284" s="83"/>
      <c r="W284" s="83"/>
      <c r="X284" s="167"/>
      <c r="Y284" s="168"/>
      <c r="Z284" s="168"/>
      <c r="AA284" s="168"/>
      <c r="AB284" s="168"/>
      <c r="AC284" s="168"/>
      <c r="AD284" s="168"/>
      <c r="AE284" s="168"/>
    </row>
    <row r="285" spans="1:31" s="141" customFormat="1" x14ac:dyDescent="0.25">
      <c r="A285" s="138">
        <v>25.44</v>
      </c>
      <c r="B285" s="165" t="s">
        <v>427</v>
      </c>
      <c r="C285" s="110">
        <v>2930010</v>
      </c>
      <c r="D285" s="80" t="s">
        <v>346</v>
      </c>
      <c r="E285" s="80"/>
      <c r="F285" s="110">
        <v>796</v>
      </c>
      <c r="G285" s="81" t="s">
        <v>17</v>
      </c>
      <c r="H285" s="81">
        <v>1</v>
      </c>
      <c r="I285" s="151">
        <v>98401</v>
      </c>
      <c r="J285" s="83" t="s">
        <v>429</v>
      </c>
      <c r="K285" s="83">
        <v>3035</v>
      </c>
      <c r="L285" s="83"/>
      <c r="M285" s="83"/>
      <c r="N285" s="83"/>
      <c r="O285" s="83"/>
      <c r="P285" s="83"/>
      <c r="Q285" s="83"/>
      <c r="R285" s="191"/>
      <c r="S285" s="83"/>
      <c r="T285" s="83">
        <v>1</v>
      </c>
      <c r="U285" s="83">
        <v>3035</v>
      </c>
      <c r="V285" s="83"/>
      <c r="W285" s="83"/>
      <c r="X285" s="167"/>
      <c r="Y285" s="168"/>
      <c r="Z285" s="168"/>
      <c r="AA285" s="168"/>
      <c r="AB285" s="168"/>
      <c r="AC285" s="168"/>
      <c r="AD285" s="168"/>
      <c r="AE285" s="168"/>
    </row>
    <row r="286" spans="1:31" s="141" customFormat="1" x14ac:dyDescent="0.25">
      <c r="A286" s="138">
        <v>25.45</v>
      </c>
      <c r="B286" s="165" t="s">
        <v>427</v>
      </c>
      <c r="C286" s="110">
        <v>5235020</v>
      </c>
      <c r="D286" s="80" t="s">
        <v>348</v>
      </c>
      <c r="E286" s="80"/>
      <c r="F286" s="110">
        <v>796</v>
      </c>
      <c r="G286" s="81" t="s">
        <v>17</v>
      </c>
      <c r="H286" s="81">
        <v>3</v>
      </c>
      <c r="I286" s="151">
        <v>98401</v>
      </c>
      <c r="J286" s="83" t="s">
        <v>429</v>
      </c>
      <c r="K286" s="83">
        <v>98970</v>
      </c>
      <c r="L286" s="83"/>
      <c r="M286" s="83"/>
      <c r="N286" s="83"/>
      <c r="O286" s="83"/>
      <c r="P286" s="83"/>
      <c r="Q286" s="83"/>
      <c r="R286" s="191"/>
      <c r="S286" s="83"/>
      <c r="T286" s="83">
        <v>3</v>
      </c>
      <c r="U286" s="83">
        <v>98970</v>
      </c>
      <c r="V286" s="83"/>
      <c r="W286" s="83"/>
      <c r="X286" s="167"/>
      <c r="Y286" s="168"/>
      <c r="Z286" s="168"/>
      <c r="AA286" s="168"/>
      <c r="AB286" s="168"/>
      <c r="AC286" s="168"/>
      <c r="AD286" s="168"/>
      <c r="AE286" s="168"/>
    </row>
    <row r="287" spans="1:31" s="141" customFormat="1" x14ac:dyDescent="0.25">
      <c r="A287" s="138">
        <v>25.46</v>
      </c>
      <c r="B287" s="165" t="s">
        <v>427</v>
      </c>
      <c r="C287" s="110">
        <v>3320000</v>
      </c>
      <c r="D287" s="80" t="s">
        <v>350</v>
      </c>
      <c r="E287" s="80"/>
      <c r="F287" s="110">
        <v>796</v>
      </c>
      <c r="G287" s="81" t="s">
        <v>17</v>
      </c>
      <c r="H287" s="81">
        <v>1</v>
      </c>
      <c r="I287" s="151">
        <v>98401</v>
      </c>
      <c r="J287" s="83" t="s">
        <v>429</v>
      </c>
      <c r="K287" s="83">
        <v>7000</v>
      </c>
      <c r="L287" s="83"/>
      <c r="M287" s="83"/>
      <c r="N287" s="83"/>
      <c r="O287" s="83"/>
      <c r="P287" s="83"/>
      <c r="Q287" s="83"/>
      <c r="R287" s="191"/>
      <c r="S287" s="83"/>
      <c r="T287" s="83">
        <v>1</v>
      </c>
      <c r="U287" s="83">
        <v>7000</v>
      </c>
      <c r="V287" s="83"/>
      <c r="W287" s="83"/>
      <c r="X287" s="167"/>
      <c r="Y287" s="168"/>
      <c r="Z287" s="168"/>
      <c r="AA287" s="168"/>
      <c r="AB287" s="168"/>
      <c r="AC287" s="168"/>
      <c r="AD287" s="168"/>
      <c r="AE287" s="168"/>
    </row>
    <row r="288" spans="1:31" s="141" customFormat="1" x14ac:dyDescent="0.25">
      <c r="A288" s="138">
        <v>25.47</v>
      </c>
      <c r="B288" s="165" t="s">
        <v>427</v>
      </c>
      <c r="C288" s="110">
        <v>2930010</v>
      </c>
      <c r="D288" s="80" t="s">
        <v>351</v>
      </c>
      <c r="E288" s="80"/>
      <c r="F288" s="110">
        <v>796</v>
      </c>
      <c r="G288" s="81" t="s">
        <v>17</v>
      </c>
      <c r="H288" s="81">
        <v>1</v>
      </c>
      <c r="I288" s="151">
        <v>98401</v>
      </c>
      <c r="J288" s="83" t="s">
        <v>429</v>
      </c>
      <c r="K288" s="83">
        <v>1090</v>
      </c>
      <c r="L288" s="83"/>
      <c r="M288" s="83"/>
      <c r="N288" s="83"/>
      <c r="O288" s="83"/>
      <c r="P288" s="83"/>
      <c r="Q288" s="83"/>
      <c r="R288" s="191"/>
      <c r="S288" s="83"/>
      <c r="T288" s="83">
        <v>1</v>
      </c>
      <c r="U288" s="83">
        <v>1090</v>
      </c>
      <c r="V288" s="83"/>
      <c r="W288" s="83"/>
      <c r="X288" s="167"/>
      <c r="Y288" s="168"/>
      <c r="Z288" s="168"/>
      <c r="AA288" s="168"/>
      <c r="AB288" s="168"/>
      <c r="AC288" s="168"/>
      <c r="AD288" s="168"/>
      <c r="AE288" s="168"/>
    </row>
    <row r="289" spans="1:256" s="164" customFormat="1" ht="14.25" x14ac:dyDescent="0.2">
      <c r="A289" s="140">
        <v>26</v>
      </c>
      <c r="B289" s="156"/>
      <c r="C289" s="157"/>
      <c r="D289" s="158" t="s">
        <v>211</v>
      </c>
      <c r="E289" s="158"/>
      <c r="F289" s="159"/>
      <c r="G289" s="160"/>
      <c r="H289" s="160"/>
      <c r="I289" s="161"/>
      <c r="J289" s="162"/>
      <c r="K289" s="162"/>
      <c r="L289" s="162"/>
      <c r="M289" s="162"/>
      <c r="N289" s="162"/>
      <c r="O289" s="162"/>
      <c r="P289" s="162"/>
      <c r="Q289" s="162"/>
      <c r="R289" s="162"/>
      <c r="S289" s="162"/>
      <c r="T289" s="162"/>
      <c r="U289" s="162"/>
      <c r="V289" s="162"/>
      <c r="W289" s="162"/>
      <c r="X289" s="163"/>
      <c r="Y289" s="140"/>
      <c r="Z289" s="156"/>
      <c r="AA289" s="157"/>
      <c r="AB289" s="158"/>
      <c r="AC289" s="158"/>
      <c r="AD289" s="159"/>
      <c r="AE289" s="160"/>
      <c r="AF289" s="160"/>
      <c r="AG289" s="162"/>
      <c r="AH289" s="162"/>
      <c r="AI289" s="162"/>
      <c r="AJ289" s="162"/>
      <c r="AK289" s="162"/>
      <c r="AL289" s="162"/>
      <c r="AM289" s="162"/>
      <c r="AN289" s="162"/>
      <c r="AO289" s="162"/>
      <c r="AP289" s="162"/>
      <c r="AQ289" s="162"/>
      <c r="AR289" s="162"/>
      <c r="AS289" s="162"/>
      <c r="AT289" s="162"/>
      <c r="AU289" s="162"/>
      <c r="AV289" s="163"/>
      <c r="AW289" s="140"/>
      <c r="AX289" s="156"/>
      <c r="AY289" s="157"/>
      <c r="AZ289" s="158"/>
      <c r="BA289" s="158"/>
      <c r="BB289" s="159"/>
      <c r="BC289" s="160"/>
      <c r="BD289" s="160"/>
      <c r="BE289" s="162"/>
      <c r="BF289" s="162"/>
      <c r="BG289" s="162"/>
      <c r="BH289" s="162"/>
      <c r="BI289" s="162"/>
      <c r="BJ289" s="162"/>
      <c r="BK289" s="162"/>
      <c r="BL289" s="162"/>
      <c r="BM289" s="162"/>
      <c r="BN289" s="162"/>
      <c r="BO289" s="162"/>
      <c r="BP289" s="162"/>
      <c r="BQ289" s="162"/>
      <c r="BR289" s="162"/>
      <c r="BS289" s="162"/>
      <c r="BT289" s="163"/>
      <c r="BU289" s="140"/>
      <c r="BV289" s="156"/>
      <c r="BW289" s="157"/>
      <c r="BX289" s="158"/>
      <c r="BY289" s="158"/>
      <c r="BZ289" s="159"/>
      <c r="CA289" s="160"/>
      <c r="CB289" s="160"/>
      <c r="CC289" s="162"/>
      <c r="CD289" s="162"/>
      <c r="CE289" s="162"/>
      <c r="CF289" s="162"/>
      <c r="CG289" s="162"/>
      <c r="CH289" s="162"/>
      <c r="CI289" s="162"/>
      <c r="CJ289" s="162"/>
      <c r="CK289" s="162"/>
      <c r="CL289" s="162"/>
      <c r="CM289" s="162"/>
      <c r="CN289" s="162"/>
      <c r="CO289" s="162"/>
      <c r="CP289" s="162"/>
      <c r="CQ289" s="162"/>
      <c r="CR289" s="163"/>
      <c r="CS289" s="140"/>
      <c r="CT289" s="156"/>
      <c r="CU289" s="157"/>
      <c r="CV289" s="158"/>
      <c r="CW289" s="158"/>
      <c r="CX289" s="159"/>
      <c r="CY289" s="160"/>
      <c r="CZ289" s="160"/>
      <c r="DA289" s="162"/>
      <c r="DB289" s="162"/>
      <c r="DC289" s="162"/>
      <c r="DD289" s="162"/>
      <c r="DE289" s="162"/>
      <c r="DF289" s="162"/>
      <c r="DG289" s="162"/>
      <c r="DH289" s="162"/>
      <c r="DI289" s="162"/>
      <c r="DJ289" s="162"/>
      <c r="DK289" s="162"/>
      <c r="DL289" s="162"/>
      <c r="DM289" s="162"/>
      <c r="DN289" s="162"/>
      <c r="DO289" s="162"/>
      <c r="DP289" s="163"/>
      <c r="DQ289" s="140"/>
      <c r="DR289" s="156"/>
      <c r="DS289" s="157"/>
      <c r="DT289" s="158"/>
      <c r="DU289" s="158"/>
      <c r="DV289" s="159"/>
      <c r="DW289" s="160"/>
      <c r="DX289" s="160"/>
      <c r="DY289" s="162"/>
      <c r="DZ289" s="162"/>
      <c r="EA289" s="162"/>
      <c r="EB289" s="162"/>
      <c r="EC289" s="162"/>
      <c r="ED289" s="162"/>
      <c r="EE289" s="162"/>
      <c r="EF289" s="162"/>
      <c r="EG289" s="162"/>
      <c r="EH289" s="162"/>
      <c r="EI289" s="162"/>
      <c r="EJ289" s="162"/>
      <c r="EK289" s="162"/>
      <c r="EL289" s="162"/>
      <c r="EM289" s="162"/>
      <c r="EN289" s="163"/>
      <c r="EO289" s="140"/>
      <c r="EP289" s="156"/>
      <c r="EQ289" s="157"/>
      <c r="ER289" s="158"/>
      <c r="ES289" s="158"/>
      <c r="ET289" s="159"/>
      <c r="EU289" s="160"/>
      <c r="EV289" s="160"/>
      <c r="EW289" s="162"/>
      <c r="EX289" s="162"/>
      <c r="EY289" s="162"/>
      <c r="EZ289" s="162"/>
      <c r="FA289" s="162"/>
      <c r="FB289" s="162"/>
      <c r="FC289" s="162"/>
      <c r="FD289" s="162"/>
      <c r="FE289" s="162"/>
      <c r="FF289" s="162"/>
      <c r="FG289" s="162"/>
      <c r="FH289" s="162"/>
      <c r="FI289" s="162"/>
      <c r="FJ289" s="162"/>
      <c r="FK289" s="162"/>
      <c r="FL289" s="163"/>
      <c r="FM289" s="140"/>
      <c r="FN289" s="156"/>
      <c r="FO289" s="157"/>
      <c r="FP289" s="158"/>
      <c r="FQ289" s="158"/>
      <c r="FR289" s="159"/>
      <c r="FS289" s="160"/>
      <c r="FT289" s="160"/>
      <c r="FU289" s="162"/>
      <c r="FV289" s="162"/>
      <c r="FW289" s="162"/>
      <c r="FX289" s="162"/>
      <c r="FY289" s="162"/>
      <c r="FZ289" s="162"/>
      <c r="GA289" s="162"/>
      <c r="GB289" s="162"/>
      <c r="GC289" s="162"/>
      <c r="GD289" s="162"/>
      <c r="GE289" s="162"/>
      <c r="GF289" s="162"/>
      <c r="GG289" s="162"/>
      <c r="GH289" s="162"/>
      <c r="GI289" s="162"/>
      <c r="GJ289" s="163"/>
      <c r="GK289" s="140"/>
      <c r="GL289" s="156"/>
      <c r="GM289" s="157"/>
      <c r="GN289" s="158"/>
      <c r="GO289" s="158"/>
      <c r="GP289" s="159"/>
      <c r="GQ289" s="160"/>
      <c r="GR289" s="160"/>
      <c r="GS289" s="162"/>
      <c r="GT289" s="162"/>
      <c r="GU289" s="162"/>
      <c r="GV289" s="162"/>
      <c r="GW289" s="162"/>
      <c r="GX289" s="162"/>
      <c r="GY289" s="162"/>
      <c r="GZ289" s="162"/>
      <c r="HA289" s="162"/>
      <c r="HB289" s="162"/>
      <c r="HC289" s="162"/>
      <c r="HD289" s="162"/>
      <c r="HE289" s="162"/>
      <c r="HF289" s="162"/>
      <c r="HG289" s="162"/>
      <c r="HH289" s="163"/>
      <c r="HI289" s="140"/>
      <c r="HJ289" s="156"/>
      <c r="HK289" s="157"/>
      <c r="HL289" s="158"/>
      <c r="HM289" s="158"/>
      <c r="HN289" s="159"/>
      <c r="HO289" s="160"/>
      <c r="HP289" s="160"/>
      <c r="HQ289" s="162"/>
      <c r="HR289" s="162"/>
      <c r="HS289" s="162"/>
      <c r="HT289" s="162"/>
      <c r="HU289" s="162"/>
      <c r="HV289" s="162"/>
      <c r="HW289" s="162"/>
      <c r="HX289" s="162"/>
      <c r="HY289" s="162"/>
      <c r="HZ289" s="162"/>
      <c r="IA289" s="162"/>
      <c r="IB289" s="162"/>
      <c r="IC289" s="162"/>
      <c r="ID289" s="162"/>
      <c r="IE289" s="162"/>
      <c r="IF289" s="163"/>
      <c r="IG289" s="140"/>
      <c r="IH289" s="156"/>
      <c r="II289" s="157"/>
      <c r="IJ289" s="158"/>
      <c r="IK289" s="158"/>
      <c r="IL289" s="159"/>
      <c r="IM289" s="160"/>
      <c r="IN289" s="160"/>
      <c r="IO289" s="162"/>
      <c r="IP289" s="162"/>
      <c r="IQ289" s="162"/>
      <c r="IR289" s="162"/>
      <c r="IS289" s="162"/>
      <c r="IT289" s="162"/>
      <c r="IU289" s="162"/>
      <c r="IV289" s="162"/>
    </row>
    <row r="290" spans="1:256" s="141" customFormat="1" x14ac:dyDescent="0.25">
      <c r="A290" s="138">
        <v>26.1</v>
      </c>
      <c r="B290" s="165" t="s">
        <v>410</v>
      </c>
      <c r="C290" s="110">
        <v>5235020</v>
      </c>
      <c r="D290" s="80" t="s">
        <v>212</v>
      </c>
      <c r="E290" s="80"/>
      <c r="F290" s="110">
        <v>796</v>
      </c>
      <c r="G290" s="81" t="s">
        <v>17</v>
      </c>
      <c r="H290" s="81">
        <v>1</v>
      </c>
      <c r="I290" s="151">
        <v>98401</v>
      </c>
      <c r="J290" s="83" t="s">
        <v>429</v>
      </c>
      <c r="K290" s="83">
        <v>100000</v>
      </c>
      <c r="L290" s="208"/>
      <c r="M290" s="208"/>
      <c r="N290" s="208"/>
      <c r="O290" s="208"/>
      <c r="Q290" s="191"/>
      <c r="R290" s="83">
        <v>1</v>
      </c>
      <c r="S290" s="83">
        <v>100000</v>
      </c>
      <c r="T290" s="83"/>
      <c r="U290" s="83"/>
      <c r="V290" s="83"/>
      <c r="W290" s="83"/>
      <c r="X290" s="167"/>
      <c r="Y290" s="168"/>
      <c r="Z290" s="168"/>
      <c r="AA290" s="168"/>
      <c r="AB290" s="168"/>
      <c r="AC290" s="168"/>
      <c r="AD290" s="168"/>
      <c r="AE290" s="168"/>
    </row>
    <row r="291" spans="1:256" s="141" customFormat="1" x14ac:dyDescent="0.25">
      <c r="A291" s="138">
        <v>26.2</v>
      </c>
      <c r="B291" s="165" t="s">
        <v>410</v>
      </c>
      <c r="C291" s="110">
        <v>5235020</v>
      </c>
      <c r="D291" s="80" t="s">
        <v>213</v>
      </c>
      <c r="E291" s="80"/>
      <c r="F291" s="110">
        <v>796</v>
      </c>
      <c r="G291" s="81" t="s">
        <v>17</v>
      </c>
      <c r="H291" s="81">
        <v>2</v>
      </c>
      <c r="I291" s="151">
        <v>98401</v>
      </c>
      <c r="J291" s="83" t="s">
        <v>429</v>
      </c>
      <c r="K291" s="83">
        <v>608000</v>
      </c>
      <c r="L291" s="83"/>
      <c r="M291" s="83"/>
      <c r="N291" s="83"/>
      <c r="O291" s="83"/>
      <c r="P291" s="83"/>
      <c r="Q291" s="83"/>
      <c r="R291" s="83"/>
      <c r="S291" s="83"/>
      <c r="T291" s="83"/>
      <c r="U291" s="83"/>
      <c r="V291" s="83">
        <v>2</v>
      </c>
      <c r="W291" s="83">
        <v>608000</v>
      </c>
      <c r="X291" s="167"/>
      <c r="Y291" s="168"/>
      <c r="Z291" s="168"/>
      <c r="AA291" s="168"/>
      <c r="AB291" s="168"/>
      <c r="AC291" s="168"/>
      <c r="AD291" s="168"/>
      <c r="AE291" s="168"/>
    </row>
    <row r="292" spans="1:256" s="141" customFormat="1" x14ac:dyDescent="0.25">
      <c r="A292" s="138">
        <v>26.3</v>
      </c>
      <c r="B292" s="165" t="s">
        <v>410</v>
      </c>
      <c r="C292" s="110">
        <v>5235020</v>
      </c>
      <c r="D292" s="80" t="s">
        <v>214</v>
      </c>
      <c r="E292" s="80"/>
      <c r="F292" s="110">
        <v>796</v>
      </c>
      <c r="G292" s="81" t="s">
        <v>17</v>
      </c>
      <c r="H292" s="209">
        <v>100</v>
      </c>
      <c r="I292" s="151">
        <v>98401</v>
      </c>
      <c r="J292" s="83" t="s">
        <v>429</v>
      </c>
      <c r="K292" s="83">
        <v>170000</v>
      </c>
      <c r="L292" s="83"/>
      <c r="M292" s="83"/>
      <c r="N292" s="83"/>
      <c r="O292" s="83"/>
      <c r="P292" s="83"/>
      <c r="Q292" s="83"/>
      <c r="R292" s="83"/>
      <c r="S292" s="83"/>
      <c r="T292" s="83">
        <v>12</v>
      </c>
      <c r="U292" s="83">
        <v>95160</v>
      </c>
      <c r="V292" s="210"/>
      <c r="W292" s="210"/>
      <c r="X292" s="167"/>
      <c r="Y292" s="168"/>
      <c r="Z292" s="168"/>
      <c r="AA292" s="168"/>
      <c r="AB292" s="168"/>
      <c r="AC292" s="168"/>
      <c r="AD292" s="168"/>
      <c r="AE292" s="168"/>
    </row>
    <row r="293" spans="1:256" s="141" customFormat="1" x14ac:dyDescent="0.25">
      <c r="A293" s="138">
        <v>26.4</v>
      </c>
      <c r="B293" s="165" t="s">
        <v>410</v>
      </c>
      <c r="C293" s="110">
        <v>5235020</v>
      </c>
      <c r="D293" s="80" t="s">
        <v>215</v>
      </c>
      <c r="E293" s="80"/>
      <c r="F293" s="110">
        <v>796</v>
      </c>
      <c r="G293" s="81" t="s">
        <v>17</v>
      </c>
      <c r="H293" s="81">
        <v>150</v>
      </c>
      <c r="I293" s="151">
        <v>98401</v>
      </c>
      <c r="J293" s="83" t="s">
        <v>429</v>
      </c>
      <c r="K293" s="83">
        <v>83060</v>
      </c>
      <c r="L293" s="83"/>
      <c r="M293" s="83"/>
      <c r="N293" s="83"/>
      <c r="O293" s="83"/>
      <c r="P293" s="83"/>
      <c r="Q293" s="83"/>
      <c r="R293" s="83"/>
      <c r="S293" s="83"/>
      <c r="T293" s="83">
        <v>150</v>
      </c>
      <c r="U293" s="83">
        <v>83060</v>
      </c>
      <c r="V293" s="83"/>
      <c r="W293" s="83"/>
      <c r="X293" s="167"/>
      <c r="Y293" s="168"/>
      <c r="Z293" s="168"/>
      <c r="AA293" s="168"/>
      <c r="AB293" s="168"/>
      <c r="AC293" s="168"/>
      <c r="AD293" s="168"/>
      <c r="AE293" s="168"/>
    </row>
    <row r="294" spans="1:256" s="227" customFormat="1" x14ac:dyDescent="0.25">
      <c r="A294" s="218">
        <v>26.5</v>
      </c>
      <c r="B294" s="219" t="s">
        <v>410</v>
      </c>
      <c r="C294" s="220">
        <v>5235020</v>
      </c>
      <c r="D294" s="221" t="s">
        <v>216</v>
      </c>
      <c r="E294" s="221"/>
      <c r="F294" s="220">
        <v>796</v>
      </c>
      <c r="G294" s="222" t="s">
        <v>17</v>
      </c>
      <c r="H294" s="222">
        <v>1</v>
      </c>
      <c r="I294" s="223">
        <v>98401</v>
      </c>
      <c r="J294" s="224" t="s">
        <v>429</v>
      </c>
      <c r="K294" s="224">
        <v>50000</v>
      </c>
      <c r="L294" s="224"/>
      <c r="M294" s="224"/>
      <c r="N294" s="224"/>
      <c r="O294" s="224"/>
      <c r="P294" s="224"/>
      <c r="Q294" s="224"/>
      <c r="R294" s="224"/>
      <c r="S294" s="224"/>
      <c r="T294" s="224">
        <v>1</v>
      </c>
      <c r="U294" s="224">
        <v>50000</v>
      </c>
      <c r="V294" s="224"/>
      <c r="W294" s="224"/>
      <c r="X294" s="225"/>
      <c r="Y294" s="226"/>
      <c r="Z294" s="226"/>
      <c r="AA294" s="226"/>
      <c r="AB294" s="226"/>
      <c r="AC294" s="226"/>
      <c r="AD294" s="226"/>
      <c r="AE294" s="226"/>
    </row>
    <row r="295" spans="1:256" s="141" customFormat="1" x14ac:dyDescent="0.25">
      <c r="A295" s="138">
        <v>26.6</v>
      </c>
      <c r="B295" s="165" t="s">
        <v>410</v>
      </c>
      <c r="C295" s="110">
        <v>5235020</v>
      </c>
      <c r="D295" s="80" t="s">
        <v>217</v>
      </c>
      <c r="E295" s="80"/>
      <c r="F295" s="110">
        <v>796</v>
      </c>
      <c r="G295" s="81" t="s">
        <v>17</v>
      </c>
      <c r="H295" s="81">
        <v>5</v>
      </c>
      <c r="I295" s="151">
        <v>98401</v>
      </c>
      <c r="J295" s="83" t="s">
        <v>429</v>
      </c>
      <c r="K295" s="83">
        <v>225000</v>
      </c>
      <c r="L295" s="83"/>
      <c r="M295" s="83"/>
      <c r="N295" s="83"/>
      <c r="O295" s="83"/>
      <c r="P295" s="83"/>
      <c r="Q295" s="83"/>
      <c r="R295" s="83"/>
      <c r="S295" s="83"/>
      <c r="T295" s="83">
        <v>5</v>
      </c>
      <c r="U295" s="83">
        <v>225000</v>
      </c>
      <c r="V295" s="83"/>
      <c r="W295" s="83"/>
      <c r="X295" s="167"/>
      <c r="Y295" s="168"/>
      <c r="Z295" s="168"/>
      <c r="AA295" s="168"/>
      <c r="AB295" s="168"/>
      <c r="AC295" s="168"/>
      <c r="AD295" s="168"/>
      <c r="AE295" s="168"/>
    </row>
    <row r="296" spans="1:256" s="141" customFormat="1" x14ac:dyDescent="0.25">
      <c r="A296" s="138">
        <v>26.7</v>
      </c>
      <c r="B296" s="165" t="s">
        <v>410</v>
      </c>
      <c r="C296" s="110">
        <v>5235020</v>
      </c>
      <c r="D296" s="80" t="s">
        <v>218</v>
      </c>
      <c r="E296" s="80"/>
      <c r="F296" s="110">
        <v>796</v>
      </c>
      <c r="G296" s="81" t="s">
        <v>17</v>
      </c>
      <c r="H296" s="81">
        <v>1</v>
      </c>
      <c r="I296" s="151">
        <v>98401</v>
      </c>
      <c r="J296" s="83" t="s">
        <v>429</v>
      </c>
      <c r="K296" s="83">
        <v>40000</v>
      </c>
      <c r="L296" s="83"/>
      <c r="M296" s="83"/>
      <c r="N296" s="83"/>
      <c r="O296" s="83"/>
      <c r="P296" s="83">
        <v>1</v>
      </c>
      <c r="Q296" s="83">
        <v>40000</v>
      </c>
      <c r="R296" s="83"/>
      <c r="S296" s="83"/>
      <c r="T296" s="83"/>
      <c r="U296" s="83"/>
      <c r="V296" s="83"/>
      <c r="W296" s="83"/>
      <c r="X296" s="167"/>
      <c r="Y296" s="168"/>
      <c r="Z296" s="168"/>
      <c r="AA296" s="168"/>
      <c r="AB296" s="168"/>
      <c r="AC296" s="168"/>
      <c r="AD296" s="168"/>
      <c r="AE296" s="168"/>
    </row>
    <row r="297" spans="1:256" s="141" customFormat="1" x14ac:dyDescent="0.25">
      <c r="A297" s="138">
        <v>26.8</v>
      </c>
      <c r="B297" s="165" t="s">
        <v>410</v>
      </c>
      <c r="C297" s="110">
        <v>5235020</v>
      </c>
      <c r="D297" s="80" t="s">
        <v>219</v>
      </c>
      <c r="E297" s="80"/>
      <c r="F297" s="110">
        <v>796</v>
      </c>
      <c r="G297" s="81" t="s">
        <v>17</v>
      </c>
      <c r="H297" s="81"/>
      <c r="I297" s="151">
        <v>98401</v>
      </c>
      <c r="J297" s="83" t="s">
        <v>429</v>
      </c>
      <c r="K297" s="83">
        <v>70500</v>
      </c>
      <c r="L297" s="83"/>
      <c r="M297" s="83"/>
      <c r="N297" s="83"/>
      <c r="O297" s="83"/>
      <c r="P297" s="83"/>
      <c r="Q297" s="83"/>
      <c r="R297" s="83"/>
      <c r="S297" s="83"/>
      <c r="T297" s="83"/>
      <c r="U297" s="83">
        <v>70500</v>
      </c>
      <c r="V297" s="83"/>
      <c r="W297" s="83">
        <v>433500</v>
      </c>
      <c r="X297" s="167"/>
      <c r="Y297" s="168"/>
      <c r="Z297" s="168"/>
      <c r="AA297" s="168"/>
      <c r="AB297" s="168"/>
      <c r="AC297" s="168"/>
      <c r="AD297" s="168"/>
      <c r="AE297" s="168"/>
    </row>
    <row r="298" spans="1:256" s="141" customFormat="1" x14ac:dyDescent="0.25">
      <c r="A298" s="138">
        <v>26.9</v>
      </c>
      <c r="B298" s="165" t="s">
        <v>410</v>
      </c>
      <c r="C298" s="110">
        <v>5235020</v>
      </c>
      <c r="D298" s="80" t="s">
        <v>220</v>
      </c>
      <c r="E298" s="80"/>
      <c r="F298" s="110">
        <v>796</v>
      </c>
      <c r="G298" s="81" t="s">
        <v>17</v>
      </c>
      <c r="H298" s="81">
        <v>1</v>
      </c>
      <c r="I298" s="151">
        <v>98401</v>
      </c>
      <c r="J298" s="83" t="s">
        <v>429</v>
      </c>
      <c r="K298" s="83">
        <v>23000</v>
      </c>
      <c r="L298" s="83"/>
      <c r="M298" s="83"/>
      <c r="N298" s="83"/>
      <c r="O298" s="83"/>
      <c r="P298" s="83">
        <v>1</v>
      </c>
      <c r="Q298" s="83">
        <v>23000</v>
      </c>
      <c r="R298" s="83"/>
      <c r="S298" s="83"/>
      <c r="T298" s="83"/>
      <c r="U298" s="83"/>
      <c r="V298" s="83"/>
      <c r="W298" s="83"/>
      <c r="X298" s="167"/>
      <c r="Y298" s="168"/>
      <c r="Z298" s="168"/>
      <c r="AA298" s="168"/>
      <c r="AB298" s="168"/>
      <c r="AC298" s="168"/>
      <c r="AD298" s="168"/>
      <c r="AE298" s="168"/>
    </row>
    <row r="299" spans="1:256" s="141" customFormat="1" x14ac:dyDescent="0.25">
      <c r="A299" s="138">
        <v>26.1</v>
      </c>
      <c r="B299" s="165" t="s">
        <v>410</v>
      </c>
      <c r="C299" s="110">
        <v>5235020</v>
      </c>
      <c r="D299" s="80" t="s">
        <v>221</v>
      </c>
      <c r="E299" s="80"/>
      <c r="F299" s="110">
        <v>796</v>
      </c>
      <c r="G299" s="81" t="s">
        <v>17</v>
      </c>
      <c r="H299" s="81">
        <v>35</v>
      </c>
      <c r="I299" s="151">
        <v>98401</v>
      </c>
      <c r="J299" s="83" t="s">
        <v>429</v>
      </c>
      <c r="K299" s="83">
        <v>203000</v>
      </c>
      <c r="L299" s="83"/>
      <c r="M299" s="83"/>
      <c r="N299" s="83"/>
      <c r="O299" s="83"/>
      <c r="P299" s="83">
        <v>8</v>
      </c>
      <c r="Q299" s="83">
        <v>46400</v>
      </c>
      <c r="R299" s="83">
        <v>9</v>
      </c>
      <c r="S299" s="83">
        <v>52200</v>
      </c>
      <c r="T299" s="83">
        <v>9</v>
      </c>
      <c r="U299" s="83">
        <v>52200</v>
      </c>
      <c r="V299" s="83">
        <v>9</v>
      </c>
      <c r="W299" s="83">
        <v>52200</v>
      </c>
      <c r="X299" s="167"/>
      <c r="Y299" s="168"/>
      <c r="Z299" s="168"/>
      <c r="AA299" s="168"/>
      <c r="AB299" s="168"/>
      <c r="AC299" s="168"/>
      <c r="AD299" s="168"/>
      <c r="AE299" s="168"/>
    </row>
    <row r="300" spans="1:256" s="141" customFormat="1" x14ac:dyDescent="0.25">
      <c r="A300" s="138">
        <v>26.11</v>
      </c>
      <c r="B300" s="165" t="s">
        <v>410</v>
      </c>
      <c r="C300" s="110">
        <v>5235020</v>
      </c>
      <c r="D300" s="80" t="s">
        <v>222</v>
      </c>
      <c r="E300" s="80"/>
      <c r="F300" s="110">
        <v>796</v>
      </c>
      <c r="G300" s="81" t="s">
        <v>17</v>
      </c>
      <c r="H300" s="81">
        <v>1</v>
      </c>
      <c r="I300" s="151">
        <v>98401</v>
      </c>
      <c r="J300" s="83" t="s">
        <v>429</v>
      </c>
      <c r="K300" s="83">
        <v>43000</v>
      </c>
      <c r="L300" s="83"/>
      <c r="M300" s="83"/>
      <c r="N300" s="83"/>
      <c r="O300" s="83"/>
      <c r="P300" s="83">
        <v>1</v>
      </c>
      <c r="Q300" s="83">
        <v>43000</v>
      </c>
      <c r="R300" s="83"/>
      <c r="S300" s="83"/>
      <c r="T300" s="83"/>
      <c r="U300" s="83"/>
      <c r="V300" s="83"/>
      <c r="W300" s="83"/>
      <c r="X300" s="167"/>
      <c r="Y300" s="168"/>
      <c r="Z300" s="168"/>
      <c r="AA300" s="168"/>
      <c r="AB300" s="168"/>
      <c r="AC300" s="168"/>
      <c r="AD300" s="168"/>
      <c r="AE300" s="168"/>
    </row>
    <row r="301" spans="1:256" s="141" customFormat="1" x14ac:dyDescent="0.25">
      <c r="A301" s="138">
        <v>26.12</v>
      </c>
      <c r="B301" s="165" t="s">
        <v>410</v>
      </c>
      <c r="C301" s="110">
        <v>5235020</v>
      </c>
      <c r="D301" s="80" t="s">
        <v>223</v>
      </c>
      <c r="E301" s="80"/>
      <c r="F301" s="110">
        <v>796</v>
      </c>
      <c r="G301" s="81" t="s">
        <v>17</v>
      </c>
      <c r="H301" s="81">
        <v>1</v>
      </c>
      <c r="I301" s="151">
        <v>98401</v>
      </c>
      <c r="J301" s="83" t="s">
        <v>429</v>
      </c>
      <c r="K301" s="83">
        <v>50000</v>
      </c>
      <c r="L301" s="83"/>
      <c r="M301" s="83"/>
      <c r="N301" s="83"/>
      <c r="O301" s="83"/>
      <c r="P301" s="191"/>
      <c r="R301" s="83"/>
      <c r="S301" s="83"/>
      <c r="T301" s="83">
        <v>1</v>
      </c>
      <c r="U301" s="83">
        <v>50000</v>
      </c>
      <c r="V301" s="83"/>
      <c r="W301" s="83"/>
      <c r="X301" s="167"/>
      <c r="Y301" s="168"/>
      <c r="Z301" s="168"/>
      <c r="AA301" s="168"/>
      <c r="AB301" s="168"/>
      <c r="AC301" s="168"/>
      <c r="AD301" s="168"/>
      <c r="AE301" s="168"/>
    </row>
    <row r="302" spans="1:256" s="141" customFormat="1" x14ac:dyDescent="0.25">
      <c r="A302" s="138">
        <v>26.13</v>
      </c>
      <c r="B302" s="165" t="s">
        <v>410</v>
      </c>
      <c r="C302" s="110">
        <v>5235020</v>
      </c>
      <c r="D302" s="80" t="s">
        <v>224</v>
      </c>
      <c r="E302" s="80"/>
      <c r="F302" s="110">
        <v>796</v>
      </c>
      <c r="G302" s="81" t="s">
        <v>17</v>
      </c>
      <c r="H302" s="81">
        <v>30</v>
      </c>
      <c r="I302" s="151">
        <v>98401</v>
      </c>
      <c r="J302" s="83" t="s">
        <v>429</v>
      </c>
      <c r="K302" s="83">
        <v>300000</v>
      </c>
      <c r="L302" s="83"/>
      <c r="M302" s="83"/>
      <c r="N302" s="83"/>
      <c r="O302" s="83"/>
      <c r="P302" s="83"/>
      <c r="Q302" s="83"/>
      <c r="R302" s="83"/>
      <c r="S302" s="83"/>
      <c r="T302" s="83"/>
      <c r="U302" s="83"/>
      <c r="V302" s="83">
        <v>30</v>
      </c>
      <c r="W302" s="83">
        <v>300000</v>
      </c>
      <c r="X302" s="167"/>
      <c r="Y302" s="168"/>
      <c r="Z302" s="168"/>
      <c r="AA302" s="168"/>
      <c r="AB302" s="168"/>
      <c r="AC302" s="168"/>
      <c r="AD302" s="168"/>
      <c r="AE302" s="168"/>
    </row>
    <row r="303" spans="1:256" s="141" customFormat="1" x14ac:dyDescent="0.25">
      <c r="A303" s="138">
        <v>26.14</v>
      </c>
      <c r="B303" s="165" t="s">
        <v>410</v>
      </c>
      <c r="C303" s="110">
        <v>5235020</v>
      </c>
      <c r="D303" s="80" t="s">
        <v>225</v>
      </c>
      <c r="E303" s="80"/>
      <c r="F303" s="110">
        <v>796</v>
      </c>
      <c r="G303" s="81" t="s">
        <v>17</v>
      </c>
      <c r="H303" s="81">
        <v>1</v>
      </c>
      <c r="I303" s="151">
        <v>98401</v>
      </c>
      <c r="J303" s="83" t="s">
        <v>429</v>
      </c>
      <c r="K303" s="83">
        <v>122000</v>
      </c>
      <c r="L303" s="83"/>
      <c r="M303" s="83"/>
      <c r="N303" s="83"/>
      <c r="O303" s="83"/>
      <c r="P303" s="191"/>
      <c r="Q303" s="191"/>
      <c r="R303" s="83"/>
      <c r="S303" s="83"/>
      <c r="T303" s="83">
        <v>1</v>
      </c>
      <c r="U303" s="83">
        <v>122000</v>
      </c>
      <c r="V303" s="83"/>
      <c r="W303" s="83"/>
      <c r="X303" s="167"/>
      <c r="Y303" s="168"/>
      <c r="Z303" s="168"/>
      <c r="AA303" s="168"/>
      <c r="AB303" s="168"/>
      <c r="AC303" s="168"/>
      <c r="AD303" s="168"/>
      <c r="AE303" s="168"/>
    </row>
    <row r="304" spans="1:256" s="141" customFormat="1" x14ac:dyDescent="0.25">
      <c r="A304" s="138">
        <v>26.15</v>
      </c>
      <c r="B304" s="165" t="s">
        <v>410</v>
      </c>
      <c r="C304" s="110">
        <v>5235020</v>
      </c>
      <c r="D304" s="80" t="s">
        <v>226</v>
      </c>
      <c r="E304" s="80"/>
      <c r="F304" s="110">
        <v>796</v>
      </c>
      <c r="G304" s="81" t="s">
        <v>17</v>
      </c>
      <c r="H304" s="81">
        <v>1</v>
      </c>
      <c r="I304" s="151">
        <v>98401</v>
      </c>
      <c r="J304" s="83" t="s">
        <v>429</v>
      </c>
      <c r="K304" s="83">
        <v>120000</v>
      </c>
      <c r="L304" s="83"/>
      <c r="M304" s="83"/>
      <c r="N304" s="83"/>
      <c r="O304" s="83"/>
      <c r="P304" s="191"/>
      <c r="R304" s="83"/>
      <c r="S304" s="83"/>
      <c r="T304" s="83">
        <v>1</v>
      </c>
      <c r="U304" s="83">
        <v>120000</v>
      </c>
      <c r="V304" s="83"/>
      <c r="W304" s="83"/>
      <c r="X304" s="167"/>
      <c r="Y304" s="168"/>
      <c r="Z304" s="168"/>
      <c r="AA304" s="168"/>
      <c r="AB304" s="168"/>
      <c r="AC304" s="168"/>
      <c r="AD304" s="168"/>
      <c r="AE304" s="168"/>
    </row>
    <row r="305" spans="1:256" s="141" customFormat="1" ht="30" x14ac:dyDescent="0.25">
      <c r="A305" s="138">
        <v>26.16</v>
      </c>
      <c r="B305" s="165" t="s">
        <v>410</v>
      </c>
      <c r="C305" s="110">
        <v>5235020</v>
      </c>
      <c r="D305" s="80" t="s">
        <v>227</v>
      </c>
      <c r="E305" s="80"/>
      <c r="F305" s="110">
        <v>796</v>
      </c>
      <c r="G305" s="81" t="s">
        <v>17</v>
      </c>
      <c r="H305" s="81">
        <v>1</v>
      </c>
      <c r="I305" s="151">
        <v>98401</v>
      </c>
      <c r="J305" s="83" t="s">
        <v>429</v>
      </c>
      <c r="K305" s="83">
        <v>7500</v>
      </c>
      <c r="L305" s="83"/>
      <c r="M305" s="83"/>
      <c r="N305" s="83"/>
      <c r="O305" s="83"/>
      <c r="P305" s="83">
        <v>1</v>
      </c>
      <c r="Q305" s="83">
        <v>7500</v>
      </c>
      <c r="S305" s="83"/>
      <c r="T305" s="83"/>
      <c r="U305" s="83"/>
      <c r="V305" s="83"/>
      <c r="W305" s="83"/>
      <c r="X305" s="167"/>
      <c r="Y305" s="168"/>
      <c r="Z305" s="168"/>
      <c r="AA305" s="168"/>
      <c r="AB305" s="168"/>
      <c r="AC305" s="168"/>
      <c r="AD305" s="168"/>
      <c r="AE305" s="168"/>
    </row>
    <row r="306" spans="1:256" s="141" customFormat="1" x14ac:dyDescent="0.25">
      <c r="A306" s="138">
        <v>26.17</v>
      </c>
      <c r="B306" s="165" t="s">
        <v>410</v>
      </c>
      <c r="C306" s="110">
        <v>5235020</v>
      </c>
      <c r="D306" s="80" t="s">
        <v>228</v>
      </c>
      <c r="E306" s="80"/>
      <c r="F306" s="110">
        <v>796</v>
      </c>
      <c r="G306" s="81" t="s">
        <v>17</v>
      </c>
      <c r="H306" s="81">
        <v>5</v>
      </c>
      <c r="I306" s="151">
        <v>98401</v>
      </c>
      <c r="J306" s="83" t="s">
        <v>429</v>
      </c>
      <c r="K306" s="83">
        <v>25000</v>
      </c>
      <c r="L306" s="83"/>
      <c r="M306" s="83"/>
      <c r="N306" s="83"/>
      <c r="O306" s="83"/>
      <c r="P306" s="83"/>
      <c r="Q306" s="83"/>
      <c r="R306" s="83">
        <v>5</v>
      </c>
      <c r="S306" s="83">
        <v>25000</v>
      </c>
      <c r="T306" s="83"/>
      <c r="U306" s="83"/>
      <c r="V306" s="83"/>
      <c r="W306" s="83"/>
      <c r="X306" s="167"/>
      <c r="Y306" s="168"/>
      <c r="Z306" s="168"/>
      <c r="AA306" s="168"/>
      <c r="AB306" s="168"/>
      <c r="AC306" s="168"/>
      <c r="AD306" s="168"/>
      <c r="AE306" s="168"/>
    </row>
    <row r="307" spans="1:256" s="141" customFormat="1" x14ac:dyDescent="0.25">
      <c r="A307" s="138">
        <v>26.18</v>
      </c>
      <c r="B307" s="165" t="s">
        <v>410</v>
      </c>
      <c r="C307" s="110">
        <v>5235020</v>
      </c>
      <c r="D307" s="80" t="s">
        <v>229</v>
      </c>
      <c r="E307" s="80"/>
      <c r="F307" s="110">
        <v>796</v>
      </c>
      <c r="G307" s="81" t="s">
        <v>17</v>
      </c>
      <c r="H307" s="81">
        <v>1</v>
      </c>
      <c r="I307" s="151">
        <v>98401</v>
      </c>
      <c r="J307" s="83" t="s">
        <v>429</v>
      </c>
      <c r="K307" s="83">
        <v>350000</v>
      </c>
      <c r="L307" s="83"/>
      <c r="M307" s="83"/>
      <c r="N307" s="83"/>
      <c r="O307" s="83"/>
      <c r="P307" s="83"/>
      <c r="Q307" s="83"/>
      <c r="R307" s="83"/>
      <c r="S307" s="83"/>
      <c r="T307" s="83">
        <v>1</v>
      </c>
      <c r="U307" s="83">
        <v>350000</v>
      </c>
      <c r="V307" s="83"/>
      <c r="W307" s="83"/>
      <c r="X307" s="167"/>
      <c r="Y307" s="168"/>
      <c r="Z307" s="168"/>
      <c r="AA307" s="168"/>
      <c r="AB307" s="168"/>
      <c r="AC307" s="168"/>
      <c r="AD307" s="168"/>
      <c r="AE307" s="168"/>
    </row>
    <row r="308" spans="1:256" s="141" customFormat="1" x14ac:dyDescent="0.25">
      <c r="A308" s="138">
        <v>26.19</v>
      </c>
      <c r="B308" s="165" t="s">
        <v>410</v>
      </c>
      <c r="C308" s="110">
        <v>5235020</v>
      </c>
      <c r="D308" s="80" t="s">
        <v>230</v>
      </c>
      <c r="E308" s="80"/>
      <c r="F308" s="110">
        <v>796</v>
      </c>
      <c r="G308" s="81" t="s">
        <v>17</v>
      </c>
      <c r="H308" s="81">
        <v>73</v>
      </c>
      <c r="I308" s="151">
        <v>98401</v>
      </c>
      <c r="J308" s="83" t="s">
        <v>429</v>
      </c>
      <c r="K308" s="83">
        <v>729000</v>
      </c>
      <c r="L308" s="83"/>
      <c r="M308" s="83"/>
      <c r="N308" s="83"/>
      <c r="O308" s="83"/>
      <c r="P308" s="83"/>
      <c r="Q308" s="83"/>
      <c r="R308" s="83"/>
      <c r="S308" s="83"/>
      <c r="T308" s="83">
        <v>73</v>
      </c>
      <c r="U308" s="83">
        <v>729000</v>
      </c>
      <c r="V308" s="83"/>
      <c r="W308" s="83"/>
      <c r="X308" s="167"/>
      <c r="Y308" s="168"/>
      <c r="Z308" s="168"/>
      <c r="AA308" s="168"/>
      <c r="AB308" s="168"/>
      <c r="AC308" s="168"/>
      <c r="AD308" s="168"/>
      <c r="AE308" s="168"/>
    </row>
    <row r="309" spans="1:256" s="141" customFormat="1" x14ac:dyDescent="0.25">
      <c r="A309" s="138">
        <v>26.2</v>
      </c>
      <c r="B309" s="165" t="s">
        <v>410</v>
      </c>
      <c r="C309" s="110">
        <v>5235020</v>
      </c>
      <c r="D309" s="80" t="s">
        <v>231</v>
      </c>
      <c r="E309" s="80"/>
      <c r="F309" s="110">
        <v>796</v>
      </c>
      <c r="G309" s="81" t="s">
        <v>17</v>
      </c>
      <c r="H309" s="81">
        <v>3</v>
      </c>
      <c r="I309" s="151">
        <v>98401</v>
      </c>
      <c r="J309" s="83" t="s">
        <v>429</v>
      </c>
      <c r="K309" s="83">
        <v>165000</v>
      </c>
      <c r="L309" s="83"/>
      <c r="M309" s="83"/>
      <c r="N309" s="83"/>
      <c r="O309" s="83"/>
      <c r="P309" s="83"/>
      <c r="Q309" s="83"/>
      <c r="R309" s="83"/>
      <c r="S309" s="83"/>
      <c r="T309" s="83">
        <v>3</v>
      </c>
      <c r="U309" s="83">
        <v>165000</v>
      </c>
      <c r="V309" s="83"/>
      <c r="W309" s="83"/>
      <c r="X309" s="167"/>
      <c r="Y309" s="168"/>
      <c r="Z309" s="168"/>
      <c r="AA309" s="168"/>
      <c r="AB309" s="168"/>
      <c r="AC309" s="168"/>
      <c r="AD309" s="168"/>
      <c r="AE309" s="168"/>
    </row>
    <row r="310" spans="1:256" s="141" customFormat="1" x14ac:dyDescent="0.25">
      <c r="A310" s="138">
        <v>26.21</v>
      </c>
      <c r="B310" s="165" t="s">
        <v>410</v>
      </c>
      <c r="C310" s="110">
        <v>5235020</v>
      </c>
      <c r="D310" s="80" t="s">
        <v>232</v>
      </c>
      <c r="E310" s="80"/>
      <c r="F310" s="110">
        <v>796</v>
      </c>
      <c r="G310" s="81" t="s">
        <v>17</v>
      </c>
      <c r="H310" s="81">
        <v>1</v>
      </c>
      <c r="I310" s="151">
        <v>98401</v>
      </c>
      <c r="J310" s="83" t="s">
        <v>429</v>
      </c>
      <c r="K310" s="83">
        <v>1600000</v>
      </c>
      <c r="L310" s="83"/>
      <c r="M310" s="83"/>
      <c r="N310" s="83"/>
      <c r="O310" s="83"/>
      <c r="P310" s="83"/>
      <c r="Q310" s="83"/>
      <c r="R310" s="83"/>
      <c r="S310" s="83"/>
      <c r="T310" s="83"/>
      <c r="U310" s="83"/>
      <c r="V310" s="83">
        <v>1</v>
      </c>
      <c r="W310" s="83">
        <v>1600000</v>
      </c>
      <c r="X310" s="167"/>
      <c r="Y310" s="168"/>
      <c r="Z310" s="168"/>
      <c r="AA310" s="168"/>
      <c r="AB310" s="168"/>
      <c r="AC310" s="168"/>
      <c r="AD310" s="168"/>
      <c r="AE310" s="168"/>
    </row>
    <row r="311" spans="1:256" s="141" customFormat="1" x14ac:dyDescent="0.25">
      <c r="A311" s="138">
        <v>26.22</v>
      </c>
      <c r="B311" s="165" t="s">
        <v>410</v>
      </c>
      <c r="C311" s="110">
        <v>5235020</v>
      </c>
      <c r="D311" s="80" t="s">
        <v>352</v>
      </c>
      <c r="E311" s="80"/>
      <c r="F311" s="114"/>
      <c r="G311" s="81"/>
      <c r="H311" s="81"/>
      <c r="I311" s="151">
        <v>98401</v>
      </c>
      <c r="J311" s="83" t="s">
        <v>429</v>
      </c>
      <c r="K311" s="83"/>
      <c r="L311" s="83"/>
      <c r="M311" s="83"/>
      <c r="N311" s="83"/>
      <c r="O311" s="83"/>
      <c r="P311" s="83"/>
      <c r="Q311" s="83"/>
      <c r="R311" s="83"/>
      <c r="S311" s="83"/>
      <c r="T311" s="83">
        <v>150</v>
      </c>
      <c r="U311" s="83">
        <v>90000</v>
      </c>
      <c r="V311" s="83"/>
      <c r="W311" s="83"/>
      <c r="X311" s="167"/>
      <c r="Y311" s="168"/>
      <c r="Z311" s="168"/>
      <c r="AA311" s="168"/>
      <c r="AB311" s="168"/>
      <c r="AC311" s="168"/>
      <c r="AD311" s="168"/>
      <c r="AE311" s="168"/>
    </row>
    <row r="312" spans="1:256" s="141" customFormat="1" x14ac:dyDescent="0.25">
      <c r="A312" s="138">
        <v>26.23</v>
      </c>
      <c r="B312" s="165" t="s">
        <v>410</v>
      </c>
      <c r="C312" s="110">
        <v>5235020</v>
      </c>
      <c r="D312" s="80" t="s">
        <v>355</v>
      </c>
      <c r="E312" s="80"/>
      <c r="F312" s="114"/>
      <c r="G312" s="81"/>
      <c r="H312" s="81">
        <v>1</v>
      </c>
      <c r="I312" s="151">
        <v>98401</v>
      </c>
      <c r="J312" s="83" t="s">
        <v>429</v>
      </c>
      <c r="K312" s="83">
        <v>100000</v>
      </c>
      <c r="L312" s="83"/>
      <c r="M312" s="83"/>
      <c r="N312" s="83"/>
      <c r="O312" s="83"/>
      <c r="P312" s="83">
        <v>1</v>
      </c>
      <c r="Q312" s="83">
        <v>100000</v>
      </c>
      <c r="R312" s="83"/>
      <c r="S312" s="83"/>
      <c r="T312" s="83"/>
      <c r="U312" s="83"/>
      <c r="V312" s="83"/>
      <c r="W312" s="83"/>
      <c r="X312" s="167"/>
      <c r="Y312" s="168"/>
      <c r="Z312" s="168"/>
      <c r="AA312" s="168"/>
      <c r="AB312" s="168"/>
      <c r="AC312" s="168"/>
      <c r="AD312" s="168"/>
      <c r="AE312" s="168"/>
    </row>
    <row r="313" spans="1:256" s="164" customFormat="1" ht="14.25" x14ac:dyDescent="0.2">
      <c r="A313" s="140">
        <v>27</v>
      </c>
      <c r="B313" s="156"/>
      <c r="C313" s="157"/>
      <c r="D313" s="158" t="s">
        <v>233</v>
      </c>
      <c r="E313" s="158"/>
      <c r="F313" s="159"/>
      <c r="G313" s="160"/>
      <c r="H313" s="160"/>
      <c r="I313" s="161"/>
      <c r="J313" s="162"/>
      <c r="K313" s="162"/>
      <c r="L313" s="162"/>
      <c r="M313" s="162"/>
      <c r="N313" s="162"/>
      <c r="O313" s="162"/>
      <c r="P313" s="162"/>
      <c r="Q313" s="162"/>
      <c r="R313" s="162"/>
      <c r="S313" s="162"/>
      <c r="T313" s="162"/>
      <c r="U313" s="162"/>
      <c r="V313" s="162"/>
      <c r="W313" s="162"/>
      <c r="X313" s="163"/>
      <c r="Y313" s="140"/>
      <c r="Z313" s="156"/>
      <c r="AA313" s="157"/>
      <c r="AB313" s="158"/>
      <c r="AC313" s="158"/>
      <c r="AD313" s="159"/>
      <c r="AE313" s="160"/>
      <c r="AF313" s="160"/>
      <c r="AG313" s="162"/>
      <c r="AH313" s="162"/>
      <c r="AI313" s="162"/>
      <c r="AJ313" s="162"/>
      <c r="AK313" s="162"/>
      <c r="AL313" s="162"/>
      <c r="AM313" s="162"/>
      <c r="AN313" s="162"/>
      <c r="AO313" s="162"/>
      <c r="AP313" s="162"/>
      <c r="AQ313" s="162"/>
      <c r="AR313" s="162"/>
      <c r="AS313" s="162"/>
      <c r="AT313" s="162"/>
      <c r="AU313" s="162"/>
      <c r="AV313" s="163"/>
      <c r="AW313" s="140"/>
      <c r="AX313" s="156"/>
      <c r="AY313" s="157"/>
      <c r="AZ313" s="158"/>
      <c r="BA313" s="158"/>
      <c r="BB313" s="159"/>
      <c r="BC313" s="160"/>
      <c r="BD313" s="160"/>
      <c r="BE313" s="162"/>
      <c r="BF313" s="162"/>
      <c r="BG313" s="162"/>
      <c r="BH313" s="162"/>
      <c r="BI313" s="162"/>
      <c r="BJ313" s="162"/>
      <c r="BK313" s="162"/>
      <c r="BL313" s="162"/>
      <c r="BM313" s="162"/>
      <c r="BN313" s="162"/>
      <c r="BO313" s="162"/>
      <c r="BP313" s="162"/>
      <c r="BQ313" s="162"/>
      <c r="BR313" s="162"/>
      <c r="BS313" s="162"/>
      <c r="BT313" s="163"/>
      <c r="BU313" s="140"/>
      <c r="BV313" s="156"/>
      <c r="BW313" s="157"/>
      <c r="BX313" s="158"/>
      <c r="BY313" s="158"/>
      <c r="BZ313" s="159"/>
      <c r="CA313" s="160"/>
      <c r="CB313" s="160"/>
      <c r="CC313" s="162"/>
      <c r="CD313" s="162"/>
      <c r="CE313" s="162"/>
      <c r="CF313" s="162"/>
      <c r="CG313" s="162"/>
      <c r="CH313" s="162"/>
      <c r="CI313" s="162"/>
      <c r="CJ313" s="162"/>
      <c r="CK313" s="162"/>
      <c r="CL313" s="162"/>
      <c r="CM313" s="162"/>
      <c r="CN313" s="162"/>
      <c r="CO313" s="162"/>
      <c r="CP313" s="162"/>
      <c r="CQ313" s="162"/>
      <c r="CR313" s="163"/>
      <c r="CS313" s="140"/>
      <c r="CT313" s="156"/>
      <c r="CU313" s="157"/>
      <c r="CV313" s="158"/>
      <c r="CW313" s="158"/>
      <c r="CX313" s="159"/>
      <c r="CY313" s="160"/>
      <c r="CZ313" s="160"/>
      <c r="DA313" s="162"/>
      <c r="DB313" s="162"/>
      <c r="DC313" s="162"/>
      <c r="DD313" s="162"/>
      <c r="DE313" s="162"/>
      <c r="DF313" s="162"/>
      <c r="DG313" s="162"/>
      <c r="DH313" s="162"/>
      <c r="DI313" s="162"/>
      <c r="DJ313" s="162"/>
      <c r="DK313" s="162"/>
      <c r="DL313" s="162"/>
      <c r="DM313" s="162"/>
      <c r="DN313" s="162"/>
      <c r="DO313" s="162"/>
      <c r="DP313" s="163"/>
      <c r="DQ313" s="140"/>
      <c r="DR313" s="156"/>
      <c r="DS313" s="157"/>
      <c r="DT313" s="158"/>
      <c r="DU313" s="158"/>
      <c r="DV313" s="159"/>
      <c r="DW313" s="160"/>
      <c r="DX313" s="160"/>
      <c r="DY313" s="162"/>
      <c r="DZ313" s="162"/>
      <c r="EA313" s="162"/>
      <c r="EB313" s="162"/>
      <c r="EC313" s="162"/>
      <c r="ED313" s="162"/>
      <c r="EE313" s="162"/>
      <c r="EF313" s="162"/>
      <c r="EG313" s="162"/>
      <c r="EH313" s="162"/>
      <c r="EI313" s="162"/>
      <c r="EJ313" s="162"/>
      <c r="EK313" s="162"/>
      <c r="EL313" s="162"/>
      <c r="EM313" s="162"/>
      <c r="EN313" s="163"/>
      <c r="EO313" s="140"/>
      <c r="EP313" s="156"/>
      <c r="EQ313" s="157"/>
      <c r="ER313" s="158"/>
      <c r="ES313" s="158"/>
      <c r="ET313" s="159"/>
      <c r="EU313" s="160"/>
      <c r="EV313" s="160"/>
      <c r="EW313" s="162"/>
      <c r="EX313" s="162"/>
      <c r="EY313" s="162"/>
      <c r="EZ313" s="162"/>
      <c r="FA313" s="162"/>
      <c r="FB313" s="162"/>
      <c r="FC313" s="162"/>
      <c r="FD313" s="162"/>
      <c r="FE313" s="162"/>
      <c r="FF313" s="162"/>
      <c r="FG313" s="162"/>
      <c r="FH313" s="162"/>
      <c r="FI313" s="162"/>
      <c r="FJ313" s="162"/>
      <c r="FK313" s="162"/>
      <c r="FL313" s="163"/>
      <c r="FM313" s="140"/>
      <c r="FN313" s="156"/>
      <c r="FO313" s="157"/>
      <c r="FP313" s="158"/>
      <c r="FQ313" s="158"/>
      <c r="FR313" s="159"/>
      <c r="FS313" s="160"/>
      <c r="FT313" s="160"/>
      <c r="FU313" s="162"/>
      <c r="FV313" s="162"/>
      <c r="FW313" s="162"/>
      <c r="FX313" s="162"/>
      <c r="FY313" s="162"/>
      <c r="FZ313" s="162"/>
      <c r="GA313" s="162"/>
      <c r="GB313" s="162"/>
      <c r="GC313" s="162"/>
      <c r="GD313" s="162"/>
      <c r="GE313" s="162"/>
      <c r="GF313" s="162"/>
      <c r="GG313" s="162"/>
      <c r="GH313" s="162"/>
      <c r="GI313" s="162"/>
      <c r="GJ313" s="163"/>
      <c r="GK313" s="140"/>
      <c r="GL313" s="156"/>
      <c r="GM313" s="157"/>
      <c r="GN313" s="158"/>
      <c r="GO313" s="158"/>
      <c r="GP313" s="159"/>
      <c r="GQ313" s="160"/>
      <c r="GR313" s="160"/>
      <c r="GS313" s="162"/>
      <c r="GT313" s="162"/>
      <c r="GU313" s="162"/>
      <c r="GV313" s="162"/>
      <c r="GW313" s="162"/>
      <c r="GX313" s="162"/>
      <c r="GY313" s="162"/>
      <c r="GZ313" s="162"/>
      <c r="HA313" s="162"/>
      <c r="HB313" s="162"/>
      <c r="HC313" s="162"/>
      <c r="HD313" s="162"/>
      <c r="HE313" s="162"/>
      <c r="HF313" s="162"/>
      <c r="HG313" s="162"/>
      <c r="HH313" s="163"/>
      <c r="HI313" s="140"/>
      <c r="HJ313" s="156"/>
      <c r="HK313" s="157"/>
      <c r="HL313" s="158"/>
      <c r="HM313" s="158"/>
      <c r="HN313" s="159"/>
      <c r="HO313" s="160"/>
      <c r="HP313" s="160"/>
      <c r="HQ313" s="162"/>
      <c r="HR313" s="162"/>
      <c r="HS313" s="162"/>
      <c r="HT313" s="162"/>
      <c r="HU313" s="162"/>
      <c r="HV313" s="162"/>
      <c r="HW313" s="162"/>
      <c r="HX313" s="162"/>
      <c r="HY313" s="162"/>
      <c r="HZ313" s="162"/>
      <c r="IA313" s="162"/>
      <c r="IB313" s="162"/>
      <c r="IC313" s="162"/>
      <c r="ID313" s="162"/>
      <c r="IE313" s="162"/>
      <c r="IF313" s="163"/>
      <c r="IG313" s="140"/>
      <c r="IH313" s="156"/>
      <c r="II313" s="157"/>
      <c r="IJ313" s="158"/>
      <c r="IK313" s="158"/>
      <c r="IL313" s="159"/>
      <c r="IM313" s="160"/>
      <c r="IN313" s="160"/>
      <c r="IO313" s="162"/>
      <c r="IP313" s="162"/>
      <c r="IQ313" s="162"/>
      <c r="IR313" s="162"/>
      <c r="IS313" s="162"/>
      <c r="IT313" s="162"/>
      <c r="IU313" s="162"/>
      <c r="IV313" s="162"/>
    </row>
    <row r="314" spans="1:256" s="141" customFormat="1" x14ac:dyDescent="0.25">
      <c r="A314" s="138">
        <v>27.1</v>
      </c>
      <c r="B314" s="165" t="s">
        <v>412</v>
      </c>
      <c r="C314" s="110">
        <v>2109020</v>
      </c>
      <c r="D314" s="210" t="s">
        <v>234</v>
      </c>
      <c r="E314" s="210"/>
      <c r="F314" s="110">
        <v>796</v>
      </c>
      <c r="G314" s="81" t="s">
        <v>17</v>
      </c>
      <c r="H314" s="129">
        <v>42</v>
      </c>
      <c r="I314" s="151">
        <v>98401</v>
      </c>
      <c r="J314" s="83" t="s">
        <v>429</v>
      </c>
      <c r="K314" s="24">
        <v>1110.9000000000001</v>
      </c>
      <c r="L314" s="24"/>
      <c r="M314" s="24"/>
      <c r="N314" s="24"/>
      <c r="O314" s="24"/>
      <c r="P314" s="211"/>
      <c r="Q314" s="83"/>
      <c r="R314" s="211"/>
      <c r="S314" s="83"/>
      <c r="T314" s="211"/>
      <c r="U314" s="83"/>
      <c r="V314" s="83">
        <v>42</v>
      </c>
      <c r="W314" s="83">
        <v>1110.9000000000001</v>
      </c>
      <c r="X314" s="167"/>
      <c r="Y314" s="168"/>
      <c r="Z314" s="168"/>
      <c r="AA314" s="168"/>
      <c r="AB314" s="168"/>
      <c r="AC314" s="168"/>
      <c r="AD314" s="168"/>
      <c r="AE314" s="168"/>
    </row>
    <row r="315" spans="1:256" s="141" customFormat="1" x14ac:dyDescent="0.25">
      <c r="A315" s="138">
        <v>27.2</v>
      </c>
      <c r="B315" s="165" t="s">
        <v>412</v>
      </c>
      <c r="C315" s="110">
        <v>2109020</v>
      </c>
      <c r="D315" s="212" t="s">
        <v>235</v>
      </c>
      <c r="E315" s="212"/>
      <c r="F315" s="110">
        <v>796</v>
      </c>
      <c r="G315" s="81" t="s">
        <v>17</v>
      </c>
      <c r="H315" s="129">
        <v>70</v>
      </c>
      <c r="I315" s="151">
        <v>98401</v>
      </c>
      <c r="J315" s="83" t="s">
        <v>429</v>
      </c>
      <c r="K315" s="24">
        <v>1400</v>
      </c>
      <c r="L315" s="24"/>
      <c r="M315" s="24"/>
      <c r="N315" s="24"/>
      <c r="O315" s="24"/>
      <c r="P315" s="211">
        <v>50</v>
      </c>
      <c r="Q315" s="83">
        <v>1000</v>
      </c>
      <c r="R315" s="83">
        <v>20</v>
      </c>
      <c r="S315" s="83">
        <v>400</v>
      </c>
      <c r="T315" s="211"/>
      <c r="U315" s="83"/>
      <c r="V315" s="83">
        <v>0</v>
      </c>
      <c r="W315" s="83">
        <v>0</v>
      </c>
      <c r="X315" s="167"/>
      <c r="Y315" s="168"/>
      <c r="Z315" s="168"/>
      <c r="AA315" s="168"/>
      <c r="AB315" s="168"/>
      <c r="AC315" s="168"/>
      <c r="AD315" s="168"/>
      <c r="AE315" s="168"/>
    </row>
    <row r="316" spans="1:256" s="141" customFormat="1" x14ac:dyDescent="0.25">
      <c r="A316" s="138">
        <v>27.3</v>
      </c>
      <c r="B316" s="165" t="s">
        <v>412</v>
      </c>
      <c r="C316" s="110">
        <v>2109020</v>
      </c>
      <c r="D316" s="212" t="s">
        <v>236</v>
      </c>
      <c r="E316" s="212"/>
      <c r="F316" s="110">
        <v>796</v>
      </c>
      <c r="G316" s="81" t="s">
        <v>17</v>
      </c>
      <c r="H316" s="129">
        <v>6</v>
      </c>
      <c r="I316" s="151">
        <v>98401</v>
      </c>
      <c r="J316" s="83" t="s">
        <v>429</v>
      </c>
      <c r="K316" s="24">
        <v>210</v>
      </c>
      <c r="L316" s="24"/>
      <c r="M316" s="24"/>
      <c r="N316" s="24"/>
      <c r="O316" s="24"/>
      <c r="P316" s="211"/>
      <c r="Q316" s="83"/>
      <c r="R316" s="83"/>
      <c r="S316" s="83"/>
      <c r="T316" s="211"/>
      <c r="U316" s="83"/>
      <c r="V316" s="83">
        <v>6</v>
      </c>
      <c r="W316" s="83">
        <v>210</v>
      </c>
      <c r="X316" s="167"/>
      <c r="Y316" s="168"/>
      <c r="Z316" s="168"/>
      <c r="AA316" s="168"/>
      <c r="AB316" s="168"/>
      <c r="AC316" s="168"/>
      <c r="AD316" s="168"/>
      <c r="AE316" s="168"/>
    </row>
    <row r="317" spans="1:256" s="141" customFormat="1" x14ac:dyDescent="0.25">
      <c r="A317" s="138">
        <v>27.4</v>
      </c>
      <c r="B317" s="165" t="s">
        <v>412</v>
      </c>
      <c r="C317" s="110">
        <v>2109020</v>
      </c>
      <c r="D317" s="212" t="s">
        <v>237</v>
      </c>
      <c r="E317" s="212"/>
      <c r="F317" s="110">
        <v>796</v>
      </c>
      <c r="G317" s="81" t="s">
        <v>17</v>
      </c>
      <c r="H317" s="129">
        <v>360</v>
      </c>
      <c r="I317" s="151">
        <v>98401</v>
      </c>
      <c r="J317" s="83" t="s">
        <v>429</v>
      </c>
      <c r="K317" s="24">
        <v>10080</v>
      </c>
      <c r="L317" s="24"/>
      <c r="M317" s="24"/>
      <c r="N317" s="24"/>
      <c r="O317" s="24"/>
      <c r="P317" s="211"/>
      <c r="Q317" s="83"/>
      <c r="R317" s="83">
        <v>120</v>
      </c>
      <c r="S317" s="83">
        <v>4560</v>
      </c>
      <c r="T317" s="211">
        <v>120</v>
      </c>
      <c r="U317" s="83">
        <v>4560</v>
      </c>
      <c r="V317" s="83">
        <v>120</v>
      </c>
      <c r="W317" s="83">
        <v>960</v>
      </c>
      <c r="X317" s="167"/>
      <c r="Y317" s="168"/>
      <c r="Z317" s="168"/>
      <c r="AA317" s="168"/>
      <c r="AB317" s="168"/>
      <c r="AC317" s="168"/>
      <c r="AD317" s="168"/>
      <c r="AE317" s="168"/>
    </row>
    <row r="318" spans="1:256" s="141" customFormat="1" x14ac:dyDescent="0.25">
      <c r="A318" s="138">
        <v>27.5</v>
      </c>
      <c r="B318" s="165" t="s">
        <v>412</v>
      </c>
      <c r="C318" s="110">
        <v>2109020</v>
      </c>
      <c r="D318" s="212" t="s">
        <v>238</v>
      </c>
      <c r="E318" s="212"/>
      <c r="F318" s="110">
        <v>796</v>
      </c>
      <c r="G318" s="81" t="s">
        <v>17</v>
      </c>
      <c r="H318" s="129">
        <v>10</v>
      </c>
      <c r="I318" s="151">
        <v>98401</v>
      </c>
      <c r="J318" s="83" t="s">
        <v>429</v>
      </c>
      <c r="K318" s="24">
        <v>380</v>
      </c>
      <c r="L318" s="24"/>
      <c r="M318" s="24"/>
      <c r="N318" s="24"/>
      <c r="O318" s="24"/>
      <c r="P318" s="211"/>
      <c r="Q318" s="83"/>
      <c r="R318" s="83"/>
      <c r="S318" s="83"/>
      <c r="T318" s="211"/>
      <c r="U318" s="83"/>
      <c r="V318" s="83">
        <v>10</v>
      </c>
      <c r="W318" s="83">
        <v>380</v>
      </c>
      <c r="X318" s="167"/>
      <c r="Y318" s="168"/>
      <c r="Z318" s="168"/>
      <c r="AA318" s="168"/>
      <c r="AB318" s="168"/>
      <c r="AC318" s="168"/>
      <c r="AD318" s="168"/>
      <c r="AE318" s="168"/>
    </row>
    <row r="319" spans="1:256" s="141" customFormat="1" x14ac:dyDescent="0.25">
      <c r="A319" s="138">
        <v>27.6</v>
      </c>
      <c r="B319" s="165" t="s">
        <v>412</v>
      </c>
      <c r="C319" s="110">
        <v>2109020</v>
      </c>
      <c r="D319" s="212" t="s">
        <v>239</v>
      </c>
      <c r="E319" s="212"/>
      <c r="F319" s="110">
        <v>796</v>
      </c>
      <c r="G319" s="81" t="s">
        <v>17</v>
      </c>
      <c r="H319" s="129">
        <v>20</v>
      </c>
      <c r="I319" s="151">
        <v>98401</v>
      </c>
      <c r="J319" s="83" t="s">
        <v>429</v>
      </c>
      <c r="K319" s="24">
        <v>2240</v>
      </c>
      <c r="L319" s="24"/>
      <c r="M319" s="24"/>
      <c r="N319" s="24"/>
      <c r="O319" s="24"/>
      <c r="P319" s="211"/>
      <c r="Q319" s="83"/>
      <c r="R319" s="83"/>
      <c r="S319" s="83"/>
      <c r="T319" s="211"/>
      <c r="U319" s="83"/>
      <c r="V319" s="83">
        <v>20</v>
      </c>
      <c r="W319" s="83">
        <v>2240</v>
      </c>
      <c r="X319" s="167"/>
      <c r="Y319" s="168"/>
      <c r="Z319" s="168"/>
      <c r="AA319" s="168"/>
      <c r="AB319" s="168"/>
      <c r="AC319" s="168"/>
      <c r="AD319" s="168"/>
      <c r="AE319" s="168"/>
    </row>
    <row r="320" spans="1:256" s="141" customFormat="1" x14ac:dyDescent="0.25">
      <c r="A320" s="138">
        <v>27.7</v>
      </c>
      <c r="B320" s="165" t="s">
        <v>412</v>
      </c>
      <c r="C320" s="110">
        <v>2109020</v>
      </c>
      <c r="D320" s="212" t="s">
        <v>240</v>
      </c>
      <c r="E320" s="212"/>
      <c r="F320" s="110">
        <v>796</v>
      </c>
      <c r="G320" s="81" t="s">
        <v>241</v>
      </c>
      <c r="H320" s="129">
        <v>55</v>
      </c>
      <c r="I320" s="151">
        <v>98401</v>
      </c>
      <c r="J320" s="83" t="s">
        <v>429</v>
      </c>
      <c r="K320" s="24">
        <v>17600</v>
      </c>
      <c r="L320" s="24"/>
      <c r="M320" s="24"/>
      <c r="N320" s="24"/>
      <c r="O320" s="24"/>
      <c r="P320" s="211"/>
      <c r="Q320" s="83"/>
      <c r="R320" s="83">
        <v>20</v>
      </c>
      <c r="S320" s="83">
        <v>6400</v>
      </c>
      <c r="T320" s="211"/>
      <c r="U320" s="83"/>
      <c r="V320" s="83">
        <v>35</v>
      </c>
      <c r="W320" s="83">
        <v>11200</v>
      </c>
      <c r="X320" s="167"/>
      <c r="Y320" s="168"/>
      <c r="Z320" s="168"/>
      <c r="AA320" s="168"/>
      <c r="AB320" s="168"/>
      <c r="AC320" s="168"/>
      <c r="AD320" s="168"/>
      <c r="AE320" s="168"/>
    </row>
    <row r="321" spans="1:31" s="141" customFormat="1" x14ac:dyDescent="0.25">
      <c r="A321" s="138">
        <v>27.8</v>
      </c>
      <c r="B321" s="165" t="s">
        <v>412</v>
      </c>
      <c r="C321" s="110">
        <v>2109020</v>
      </c>
      <c r="D321" s="212" t="s">
        <v>242</v>
      </c>
      <c r="E321" s="212"/>
      <c r="F321" s="110">
        <v>796</v>
      </c>
      <c r="G321" s="81" t="s">
        <v>241</v>
      </c>
      <c r="H321" s="129">
        <v>2137</v>
      </c>
      <c r="I321" s="151">
        <v>98401</v>
      </c>
      <c r="J321" s="83" t="s">
        <v>429</v>
      </c>
      <c r="K321" s="24">
        <v>346194</v>
      </c>
      <c r="L321" s="24"/>
      <c r="M321" s="24"/>
      <c r="N321" s="24"/>
      <c r="O321" s="24"/>
      <c r="P321" s="211">
        <v>500</v>
      </c>
      <c r="Q321" s="83">
        <v>81000</v>
      </c>
      <c r="R321" s="83">
        <v>300</v>
      </c>
      <c r="S321" s="83">
        <v>48600</v>
      </c>
      <c r="T321" s="211">
        <v>500</v>
      </c>
      <c r="U321" s="83">
        <v>81000</v>
      </c>
      <c r="V321" s="83">
        <v>837</v>
      </c>
      <c r="W321" s="83">
        <v>135594</v>
      </c>
      <c r="X321" s="167"/>
      <c r="Y321" s="168"/>
      <c r="Z321" s="168"/>
      <c r="AA321" s="168"/>
      <c r="AB321" s="168"/>
      <c r="AC321" s="168"/>
      <c r="AD321" s="168"/>
      <c r="AE321" s="168"/>
    </row>
    <row r="322" spans="1:31" s="141" customFormat="1" x14ac:dyDescent="0.25">
      <c r="A322" s="138">
        <v>27.9</v>
      </c>
      <c r="B322" s="165" t="s">
        <v>412</v>
      </c>
      <c r="C322" s="110">
        <v>2109020</v>
      </c>
      <c r="D322" s="212" t="s">
        <v>243</v>
      </c>
      <c r="E322" s="212"/>
      <c r="F322" s="110">
        <v>796</v>
      </c>
      <c r="G322" s="81" t="s">
        <v>17</v>
      </c>
      <c r="H322" s="129">
        <v>4</v>
      </c>
      <c r="I322" s="151">
        <v>98401</v>
      </c>
      <c r="J322" s="83" t="s">
        <v>429</v>
      </c>
      <c r="K322" s="24">
        <v>680</v>
      </c>
      <c r="L322" s="24"/>
      <c r="M322" s="24"/>
      <c r="N322" s="24"/>
      <c r="O322" s="24"/>
      <c r="P322" s="211"/>
      <c r="Q322" s="83"/>
      <c r="R322" s="83"/>
      <c r="S322" s="83"/>
      <c r="T322" s="211"/>
      <c r="U322" s="83"/>
      <c r="V322" s="83">
        <v>4</v>
      </c>
      <c r="W322" s="83">
        <v>680</v>
      </c>
      <c r="X322" s="167"/>
      <c r="Y322" s="168"/>
      <c r="Z322" s="168"/>
      <c r="AA322" s="168"/>
      <c r="AB322" s="168"/>
      <c r="AC322" s="168"/>
      <c r="AD322" s="168"/>
      <c r="AE322" s="168"/>
    </row>
    <row r="323" spans="1:31" s="141" customFormat="1" ht="30" x14ac:dyDescent="0.25">
      <c r="A323" s="138">
        <v>27.1</v>
      </c>
      <c r="B323" s="165" t="s">
        <v>412</v>
      </c>
      <c r="C323" s="110">
        <v>2109020</v>
      </c>
      <c r="D323" s="212" t="s">
        <v>244</v>
      </c>
      <c r="E323" s="212"/>
      <c r="F323" s="110">
        <v>796</v>
      </c>
      <c r="G323" s="81" t="s">
        <v>17</v>
      </c>
      <c r="H323" s="129">
        <v>5</v>
      </c>
      <c r="I323" s="151">
        <v>98401</v>
      </c>
      <c r="J323" s="83" t="s">
        <v>429</v>
      </c>
      <c r="K323" s="24">
        <v>1150</v>
      </c>
      <c r="L323" s="24"/>
      <c r="M323" s="24"/>
      <c r="N323" s="24"/>
      <c r="O323" s="24"/>
      <c r="P323" s="211"/>
      <c r="Q323" s="83"/>
      <c r="R323" s="83"/>
      <c r="S323" s="83"/>
      <c r="T323" s="211"/>
      <c r="U323" s="83"/>
      <c r="V323" s="83">
        <v>5</v>
      </c>
      <c r="W323" s="83">
        <v>1150</v>
      </c>
      <c r="X323" s="167"/>
      <c r="Y323" s="168"/>
      <c r="Z323" s="168"/>
      <c r="AA323" s="168"/>
      <c r="AB323" s="168"/>
      <c r="AC323" s="168"/>
      <c r="AD323" s="168"/>
      <c r="AE323" s="168"/>
    </row>
    <row r="324" spans="1:31" s="141" customFormat="1" x14ac:dyDescent="0.25">
      <c r="A324" s="138">
        <v>27.11</v>
      </c>
      <c r="B324" s="165" t="s">
        <v>412</v>
      </c>
      <c r="C324" s="110">
        <v>2109020</v>
      </c>
      <c r="D324" s="210" t="s">
        <v>245</v>
      </c>
      <c r="E324" s="210"/>
      <c r="F324" s="110">
        <v>796</v>
      </c>
      <c r="G324" s="81" t="s">
        <v>17</v>
      </c>
      <c r="H324" s="129">
        <v>19</v>
      </c>
      <c r="I324" s="151">
        <v>98401</v>
      </c>
      <c r="J324" s="83" t="s">
        <v>429</v>
      </c>
      <c r="K324" s="24">
        <v>22800</v>
      </c>
      <c r="L324" s="24"/>
      <c r="M324" s="24"/>
      <c r="N324" s="24"/>
      <c r="O324" s="24"/>
      <c r="P324" s="211"/>
      <c r="Q324" s="83"/>
      <c r="R324" s="83">
        <v>10</v>
      </c>
      <c r="S324" s="83">
        <v>12000</v>
      </c>
      <c r="T324" s="211"/>
      <c r="U324" s="83"/>
      <c r="V324" s="83">
        <v>9</v>
      </c>
      <c r="W324" s="83">
        <v>10800</v>
      </c>
      <c r="X324" s="167"/>
      <c r="Y324" s="168"/>
      <c r="Z324" s="168"/>
      <c r="AA324" s="168"/>
      <c r="AB324" s="168"/>
      <c r="AC324" s="168"/>
      <c r="AD324" s="168"/>
      <c r="AE324" s="168"/>
    </row>
    <row r="325" spans="1:31" s="141" customFormat="1" x14ac:dyDescent="0.25">
      <c r="A325" s="138">
        <v>27.12</v>
      </c>
      <c r="B325" s="165" t="s">
        <v>412</v>
      </c>
      <c r="C325" s="110">
        <v>2109020</v>
      </c>
      <c r="D325" s="212" t="s">
        <v>246</v>
      </c>
      <c r="E325" s="212"/>
      <c r="F325" s="110">
        <v>796</v>
      </c>
      <c r="G325" s="81" t="s">
        <v>17</v>
      </c>
      <c r="H325" s="129">
        <v>150</v>
      </c>
      <c r="I325" s="151">
        <v>98401</v>
      </c>
      <c r="J325" s="83" t="s">
        <v>429</v>
      </c>
      <c r="K325" s="24">
        <v>10620</v>
      </c>
      <c r="L325" s="24"/>
      <c r="M325" s="24"/>
      <c r="N325" s="24"/>
      <c r="O325" s="24"/>
      <c r="P325" s="211"/>
      <c r="Q325" s="83"/>
      <c r="R325" s="83">
        <v>150</v>
      </c>
      <c r="S325" s="83">
        <v>10620</v>
      </c>
      <c r="T325" s="211"/>
      <c r="U325" s="83"/>
      <c r="V325" s="83">
        <v>0</v>
      </c>
      <c r="W325" s="83">
        <v>0</v>
      </c>
      <c r="X325" s="167"/>
      <c r="Y325" s="168"/>
      <c r="Z325" s="168"/>
      <c r="AA325" s="168"/>
      <c r="AB325" s="168"/>
      <c r="AC325" s="168"/>
      <c r="AD325" s="168"/>
      <c r="AE325" s="168"/>
    </row>
    <row r="326" spans="1:31" s="141" customFormat="1" x14ac:dyDescent="0.25">
      <c r="A326" s="138">
        <v>27.13</v>
      </c>
      <c r="B326" s="165" t="s">
        <v>412</v>
      </c>
      <c r="C326" s="110">
        <v>2109020</v>
      </c>
      <c r="D326" s="172" t="s">
        <v>247</v>
      </c>
      <c r="E326" s="172"/>
      <c r="F326" s="110">
        <v>796</v>
      </c>
      <c r="G326" s="81" t="s">
        <v>17</v>
      </c>
      <c r="H326" s="129">
        <v>50</v>
      </c>
      <c r="I326" s="151">
        <v>98401</v>
      </c>
      <c r="J326" s="83" t="s">
        <v>429</v>
      </c>
      <c r="K326" s="24">
        <v>750</v>
      </c>
      <c r="L326" s="24"/>
      <c r="M326" s="24"/>
      <c r="N326" s="24"/>
      <c r="O326" s="24"/>
      <c r="P326" s="211"/>
      <c r="Q326" s="83"/>
      <c r="R326" s="83">
        <v>50</v>
      </c>
      <c r="S326" s="83">
        <v>750</v>
      </c>
      <c r="T326" s="211"/>
      <c r="U326" s="83"/>
      <c r="V326" s="83">
        <v>0</v>
      </c>
      <c r="W326" s="83">
        <v>0</v>
      </c>
      <c r="X326" s="167"/>
      <c r="Y326" s="168"/>
      <c r="Z326" s="168"/>
      <c r="AA326" s="168"/>
      <c r="AB326" s="168"/>
      <c r="AC326" s="168"/>
      <c r="AD326" s="168"/>
      <c r="AE326" s="168"/>
    </row>
    <row r="327" spans="1:31" s="141" customFormat="1" x14ac:dyDescent="0.25">
      <c r="A327" s="138">
        <v>27.14</v>
      </c>
      <c r="B327" s="165" t="s">
        <v>412</v>
      </c>
      <c r="C327" s="110">
        <v>2109020</v>
      </c>
      <c r="D327" s="212" t="s">
        <v>248</v>
      </c>
      <c r="E327" s="212"/>
      <c r="F327" s="110">
        <v>796</v>
      </c>
      <c r="G327" s="81" t="s">
        <v>17</v>
      </c>
      <c r="H327" s="129">
        <v>3</v>
      </c>
      <c r="I327" s="151">
        <v>98401</v>
      </c>
      <c r="J327" s="83" t="s">
        <v>429</v>
      </c>
      <c r="K327" s="24">
        <v>90</v>
      </c>
      <c r="L327" s="24"/>
      <c r="M327" s="24"/>
      <c r="N327" s="24"/>
      <c r="O327" s="24"/>
      <c r="P327" s="211"/>
      <c r="Q327" s="83"/>
      <c r="R327" s="83"/>
      <c r="S327" s="83"/>
      <c r="T327" s="211"/>
      <c r="U327" s="83"/>
      <c r="V327" s="83">
        <v>3</v>
      </c>
      <c r="W327" s="83">
        <v>90</v>
      </c>
      <c r="X327" s="167"/>
      <c r="Y327" s="168"/>
      <c r="Z327" s="168"/>
      <c r="AA327" s="168"/>
      <c r="AB327" s="168"/>
      <c r="AC327" s="168"/>
      <c r="AD327" s="168"/>
      <c r="AE327" s="168"/>
    </row>
    <row r="328" spans="1:31" s="141" customFormat="1" x14ac:dyDescent="0.25">
      <c r="A328" s="138">
        <v>27.15</v>
      </c>
      <c r="B328" s="165" t="s">
        <v>412</v>
      </c>
      <c r="C328" s="110">
        <v>2109020</v>
      </c>
      <c r="D328" s="212" t="s">
        <v>249</v>
      </c>
      <c r="E328" s="212"/>
      <c r="F328" s="110">
        <v>796</v>
      </c>
      <c r="G328" s="81" t="s">
        <v>17</v>
      </c>
      <c r="H328" s="129">
        <v>1</v>
      </c>
      <c r="I328" s="151">
        <v>98401</v>
      </c>
      <c r="J328" s="83" t="s">
        <v>429</v>
      </c>
      <c r="K328" s="24">
        <v>30</v>
      </c>
      <c r="L328" s="24"/>
      <c r="M328" s="24"/>
      <c r="N328" s="24"/>
      <c r="O328" s="24"/>
      <c r="P328" s="211"/>
      <c r="Q328" s="83"/>
      <c r="R328" s="83"/>
      <c r="S328" s="83"/>
      <c r="T328" s="211"/>
      <c r="U328" s="83"/>
      <c r="V328" s="83">
        <v>1</v>
      </c>
      <c r="W328" s="83">
        <v>30</v>
      </c>
      <c r="X328" s="167"/>
      <c r="Y328" s="168"/>
      <c r="Z328" s="168"/>
      <c r="AA328" s="168"/>
      <c r="AB328" s="168"/>
      <c r="AC328" s="168"/>
      <c r="AD328" s="168"/>
      <c r="AE328" s="168"/>
    </row>
    <row r="329" spans="1:31" s="141" customFormat="1" x14ac:dyDescent="0.25">
      <c r="A329" s="138">
        <v>27.16</v>
      </c>
      <c r="B329" s="165" t="s">
        <v>412</v>
      </c>
      <c r="C329" s="110">
        <v>2109020</v>
      </c>
      <c r="D329" s="172" t="s">
        <v>250</v>
      </c>
      <c r="E329" s="172"/>
      <c r="F329" s="110">
        <v>796</v>
      </c>
      <c r="G329" s="81" t="s">
        <v>17</v>
      </c>
      <c r="H329" s="129">
        <v>5</v>
      </c>
      <c r="I329" s="151">
        <v>98401</v>
      </c>
      <c r="J329" s="83" t="s">
        <v>429</v>
      </c>
      <c r="K329" s="24">
        <v>2250</v>
      </c>
      <c r="L329" s="24"/>
      <c r="M329" s="24"/>
      <c r="N329" s="24"/>
      <c r="O329" s="24"/>
      <c r="P329" s="211"/>
      <c r="Q329" s="83"/>
      <c r="R329" s="83"/>
      <c r="S329" s="83"/>
      <c r="T329" s="211"/>
      <c r="U329" s="83"/>
      <c r="V329" s="83">
        <v>5</v>
      </c>
      <c r="W329" s="83">
        <v>2250</v>
      </c>
      <c r="X329" s="167"/>
      <c r="Y329" s="168"/>
      <c r="Z329" s="168"/>
      <c r="AA329" s="168"/>
      <c r="AB329" s="168"/>
      <c r="AC329" s="168"/>
      <c r="AD329" s="168"/>
      <c r="AE329" s="168"/>
    </row>
    <row r="330" spans="1:31" s="141" customFormat="1" x14ac:dyDescent="0.25">
      <c r="A330" s="138">
        <v>27.17</v>
      </c>
      <c r="B330" s="165" t="s">
        <v>412</v>
      </c>
      <c r="C330" s="110">
        <v>2109020</v>
      </c>
      <c r="D330" s="172" t="s">
        <v>251</v>
      </c>
      <c r="E330" s="172"/>
      <c r="F330" s="110">
        <v>796</v>
      </c>
      <c r="G330" s="81" t="s">
        <v>17</v>
      </c>
      <c r="H330" s="129">
        <v>9</v>
      </c>
      <c r="I330" s="151">
        <v>98401</v>
      </c>
      <c r="J330" s="83" t="s">
        <v>429</v>
      </c>
      <c r="K330" s="24">
        <v>4050</v>
      </c>
      <c r="L330" s="24"/>
      <c r="M330" s="24"/>
      <c r="N330" s="24"/>
      <c r="O330" s="24"/>
      <c r="P330" s="211"/>
      <c r="Q330" s="83"/>
      <c r="R330" s="83"/>
      <c r="S330" s="83"/>
      <c r="T330" s="211"/>
      <c r="U330" s="83"/>
      <c r="V330" s="83">
        <v>9</v>
      </c>
      <c r="W330" s="83">
        <v>4050</v>
      </c>
      <c r="X330" s="167"/>
      <c r="Y330" s="168"/>
      <c r="Z330" s="168"/>
      <c r="AA330" s="168"/>
      <c r="AB330" s="168"/>
      <c r="AC330" s="168"/>
      <c r="AD330" s="168"/>
      <c r="AE330" s="168"/>
    </row>
    <row r="331" spans="1:31" s="141" customFormat="1" x14ac:dyDescent="0.25">
      <c r="A331" s="138">
        <v>27.18</v>
      </c>
      <c r="B331" s="165" t="s">
        <v>412</v>
      </c>
      <c r="C331" s="110">
        <v>2109020</v>
      </c>
      <c r="D331" s="172" t="s">
        <v>252</v>
      </c>
      <c r="E331" s="172"/>
      <c r="F331" s="110">
        <v>796</v>
      </c>
      <c r="G331" s="81" t="s">
        <v>17</v>
      </c>
      <c r="H331" s="129">
        <v>10</v>
      </c>
      <c r="I331" s="151">
        <v>98401</v>
      </c>
      <c r="J331" s="83" t="s">
        <v>429</v>
      </c>
      <c r="K331" s="24">
        <v>4500</v>
      </c>
      <c r="L331" s="24"/>
      <c r="M331" s="24"/>
      <c r="N331" s="24"/>
      <c r="O331" s="24"/>
      <c r="P331" s="211"/>
      <c r="Q331" s="83"/>
      <c r="R331" s="83">
        <v>10</v>
      </c>
      <c r="S331" s="83">
        <v>4500</v>
      </c>
      <c r="T331" s="211"/>
      <c r="U331" s="83"/>
      <c r="V331" s="83">
        <v>0</v>
      </c>
      <c r="W331" s="83">
        <v>0</v>
      </c>
      <c r="X331" s="167"/>
      <c r="Y331" s="168"/>
      <c r="Z331" s="168"/>
      <c r="AA331" s="168"/>
      <c r="AB331" s="168"/>
      <c r="AC331" s="168"/>
      <c r="AD331" s="168"/>
      <c r="AE331" s="168"/>
    </row>
    <row r="332" spans="1:31" s="141" customFormat="1" x14ac:dyDescent="0.25">
      <c r="A332" s="138">
        <v>27.19</v>
      </c>
      <c r="B332" s="165" t="s">
        <v>412</v>
      </c>
      <c r="C332" s="110">
        <v>2109020</v>
      </c>
      <c r="D332" s="212" t="s">
        <v>253</v>
      </c>
      <c r="E332" s="212"/>
      <c r="F332" s="110">
        <v>796</v>
      </c>
      <c r="G332" s="81" t="s">
        <v>17</v>
      </c>
      <c r="H332" s="129">
        <v>48</v>
      </c>
      <c r="I332" s="151">
        <v>98401</v>
      </c>
      <c r="J332" s="83" t="s">
        <v>429</v>
      </c>
      <c r="K332" s="24">
        <v>864</v>
      </c>
      <c r="L332" s="24"/>
      <c r="M332" s="24"/>
      <c r="N332" s="24"/>
      <c r="O332" s="24"/>
      <c r="P332" s="211"/>
      <c r="Q332" s="83"/>
      <c r="R332" s="83"/>
      <c r="S332" s="83"/>
      <c r="T332" s="211"/>
      <c r="U332" s="83"/>
      <c r="V332" s="83">
        <v>48</v>
      </c>
      <c r="W332" s="83">
        <v>864</v>
      </c>
      <c r="X332" s="167"/>
      <c r="Y332" s="168"/>
      <c r="Z332" s="168"/>
      <c r="AA332" s="168"/>
      <c r="AB332" s="168"/>
      <c r="AC332" s="168"/>
      <c r="AD332" s="168"/>
      <c r="AE332" s="168"/>
    </row>
    <row r="333" spans="1:31" s="141" customFormat="1" x14ac:dyDescent="0.25">
      <c r="A333" s="138">
        <v>27.2</v>
      </c>
      <c r="B333" s="165" t="s">
        <v>412</v>
      </c>
      <c r="C333" s="110">
        <v>2109020</v>
      </c>
      <c r="D333" s="212" t="s">
        <v>254</v>
      </c>
      <c r="E333" s="212"/>
      <c r="F333" s="110">
        <v>796</v>
      </c>
      <c r="G333" s="81" t="s">
        <v>17</v>
      </c>
      <c r="H333" s="129">
        <v>171</v>
      </c>
      <c r="I333" s="151">
        <v>98401</v>
      </c>
      <c r="J333" s="83" t="s">
        <v>429</v>
      </c>
      <c r="K333" s="24">
        <v>8721</v>
      </c>
      <c r="L333" s="24"/>
      <c r="M333" s="24"/>
      <c r="N333" s="24"/>
      <c r="O333" s="24"/>
      <c r="P333" s="211"/>
      <c r="Q333" s="83"/>
      <c r="R333" s="83"/>
      <c r="S333" s="83"/>
      <c r="T333" s="211"/>
      <c r="U333" s="83"/>
      <c r="V333" s="83">
        <v>171</v>
      </c>
      <c r="W333" s="83">
        <v>8721</v>
      </c>
      <c r="X333" s="167"/>
      <c r="Y333" s="168"/>
      <c r="Z333" s="168"/>
      <c r="AA333" s="168"/>
      <c r="AB333" s="168"/>
      <c r="AC333" s="168"/>
      <c r="AD333" s="168"/>
      <c r="AE333" s="168"/>
    </row>
    <row r="334" spans="1:31" s="141" customFormat="1" x14ac:dyDescent="0.25">
      <c r="A334" s="138">
        <v>27.21</v>
      </c>
      <c r="B334" s="165" t="s">
        <v>412</v>
      </c>
      <c r="C334" s="110">
        <v>2109020</v>
      </c>
      <c r="D334" s="212" t="s">
        <v>255</v>
      </c>
      <c r="E334" s="212"/>
      <c r="F334" s="110">
        <v>796</v>
      </c>
      <c r="G334" s="81" t="s">
        <v>17</v>
      </c>
      <c r="H334" s="129">
        <v>122</v>
      </c>
      <c r="I334" s="151">
        <v>98401</v>
      </c>
      <c r="J334" s="83" t="s">
        <v>429</v>
      </c>
      <c r="K334" s="24">
        <v>15250</v>
      </c>
      <c r="L334" s="24"/>
      <c r="M334" s="24"/>
      <c r="N334" s="24"/>
      <c r="O334" s="24"/>
      <c r="P334" s="211"/>
      <c r="Q334" s="83"/>
      <c r="R334" s="83"/>
      <c r="S334" s="83"/>
      <c r="T334" s="211"/>
      <c r="U334" s="83"/>
      <c r="V334" s="83">
        <v>122</v>
      </c>
      <c r="W334" s="83">
        <v>15250</v>
      </c>
      <c r="X334" s="167"/>
      <c r="Y334" s="168"/>
      <c r="Z334" s="168"/>
      <c r="AA334" s="168"/>
      <c r="AB334" s="168"/>
      <c r="AC334" s="168"/>
      <c r="AD334" s="168"/>
      <c r="AE334" s="168"/>
    </row>
    <row r="335" spans="1:31" s="141" customFormat="1" x14ac:dyDescent="0.25">
      <c r="A335" s="138">
        <v>27.22</v>
      </c>
      <c r="B335" s="165" t="s">
        <v>412</v>
      </c>
      <c r="C335" s="110">
        <v>2109020</v>
      </c>
      <c r="D335" s="212" t="s">
        <v>256</v>
      </c>
      <c r="E335" s="212"/>
      <c r="F335" s="110">
        <v>796</v>
      </c>
      <c r="G335" s="81" t="s">
        <v>17</v>
      </c>
      <c r="H335" s="129">
        <v>12</v>
      </c>
      <c r="I335" s="151">
        <v>98401</v>
      </c>
      <c r="J335" s="83" t="s">
        <v>429</v>
      </c>
      <c r="K335" s="24">
        <v>10800</v>
      </c>
      <c r="L335" s="24"/>
      <c r="M335" s="24"/>
      <c r="N335" s="24"/>
      <c r="O335" s="24"/>
      <c r="P335" s="211"/>
      <c r="Q335" s="83"/>
      <c r="R335" s="83">
        <v>10</v>
      </c>
      <c r="S335" s="83">
        <v>9000</v>
      </c>
      <c r="T335" s="211"/>
      <c r="U335" s="83"/>
      <c r="V335" s="83">
        <v>2</v>
      </c>
      <c r="W335" s="83">
        <v>1800</v>
      </c>
      <c r="X335" s="167"/>
      <c r="Y335" s="168"/>
      <c r="Z335" s="168"/>
      <c r="AA335" s="168"/>
      <c r="AB335" s="168"/>
      <c r="AC335" s="168"/>
      <c r="AD335" s="168"/>
      <c r="AE335" s="168"/>
    </row>
    <row r="336" spans="1:31" s="141" customFormat="1" x14ac:dyDescent="0.25">
      <c r="A336" s="138">
        <v>27.23</v>
      </c>
      <c r="B336" s="165" t="s">
        <v>412</v>
      </c>
      <c r="C336" s="110">
        <v>2109020</v>
      </c>
      <c r="D336" s="212" t="s">
        <v>257</v>
      </c>
      <c r="E336" s="212"/>
      <c r="F336" s="110">
        <v>796</v>
      </c>
      <c r="G336" s="81" t="s">
        <v>17</v>
      </c>
      <c r="H336" s="129">
        <v>12</v>
      </c>
      <c r="I336" s="151">
        <v>98401</v>
      </c>
      <c r="J336" s="83" t="s">
        <v>429</v>
      </c>
      <c r="K336" s="24">
        <v>3543.6</v>
      </c>
      <c r="L336" s="24"/>
      <c r="M336" s="24"/>
      <c r="N336" s="24"/>
      <c r="O336" s="24"/>
      <c r="P336" s="211"/>
      <c r="Q336" s="83"/>
      <c r="R336" s="83">
        <v>5</v>
      </c>
      <c r="S336" s="83">
        <v>1476.5</v>
      </c>
      <c r="T336" s="211"/>
      <c r="U336" s="83"/>
      <c r="V336" s="83">
        <v>7</v>
      </c>
      <c r="W336" s="83">
        <v>2067.1</v>
      </c>
      <c r="X336" s="167"/>
      <c r="Y336" s="168"/>
      <c r="Z336" s="168"/>
      <c r="AA336" s="168"/>
      <c r="AB336" s="168"/>
      <c r="AC336" s="168"/>
      <c r="AD336" s="168"/>
      <c r="AE336" s="168"/>
    </row>
    <row r="337" spans="1:31" s="141" customFormat="1" x14ac:dyDescent="0.25">
      <c r="A337" s="138">
        <v>27.24</v>
      </c>
      <c r="B337" s="165" t="s">
        <v>412</v>
      </c>
      <c r="C337" s="110">
        <v>2109020</v>
      </c>
      <c r="D337" s="212" t="s">
        <v>258</v>
      </c>
      <c r="E337" s="212"/>
      <c r="F337" s="110">
        <v>796</v>
      </c>
      <c r="G337" s="81" t="s">
        <v>17</v>
      </c>
      <c r="H337" s="129">
        <v>36</v>
      </c>
      <c r="I337" s="151">
        <v>98401</v>
      </c>
      <c r="J337" s="83" t="s">
        <v>429</v>
      </c>
      <c r="K337" s="24">
        <v>957.6</v>
      </c>
      <c r="L337" s="24"/>
      <c r="M337" s="24"/>
      <c r="N337" s="24"/>
      <c r="O337" s="24"/>
      <c r="P337" s="211"/>
      <c r="Q337" s="83"/>
      <c r="R337" s="83">
        <v>20</v>
      </c>
      <c r="S337" s="83">
        <v>532</v>
      </c>
      <c r="T337" s="211"/>
      <c r="U337" s="83"/>
      <c r="V337" s="83">
        <v>16</v>
      </c>
      <c r="W337" s="83">
        <v>425.6</v>
      </c>
      <c r="X337" s="167"/>
      <c r="Y337" s="168"/>
      <c r="Z337" s="168"/>
      <c r="AA337" s="168"/>
      <c r="AB337" s="168"/>
      <c r="AC337" s="168"/>
      <c r="AD337" s="168"/>
      <c r="AE337" s="168"/>
    </row>
    <row r="338" spans="1:31" s="141" customFormat="1" x14ac:dyDescent="0.25">
      <c r="A338" s="138">
        <v>27.25</v>
      </c>
      <c r="B338" s="165" t="s">
        <v>412</v>
      </c>
      <c r="C338" s="110">
        <v>2109020</v>
      </c>
      <c r="D338" s="212" t="s">
        <v>259</v>
      </c>
      <c r="E338" s="212"/>
      <c r="F338" s="110">
        <v>796</v>
      </c>
      <c r="G338" s="81" t="s">
        <v>17</v>
      </c>
      <c r="H338" s="129">
        <v>746</v>
      </c>
      <c r="I338" s="151">
        <v>98401</v>
      </c>
      <c r="J338" s="83" t="s">
        <v>429</v>
      </c>
      <c r="K338" s="24">
        <v>5595</v>
      </c>
      <c r="L338" s="24"/>
      <c r="M338" s="24"/>
      <c r="N338" s="24"/>
      <c r="O338" s="24"/>
      <c r="P338" s="211"/>
      <c r="Q338" s="83"/>
      <c r="R338" s="83">
        <v>300</v>
      </c>
      <c r="S338" s="83">
        <v>2250</v>
      </c>
      <c r="T338" s="211"/>
      <c r="U338" s="83"/>
      <c r="V338" s="83">
        <v>446</v>
      </c>
      <c r="W338" s="83">
        <v>3345</v>
      </c>
      <c r="X338" s="167"/>
      <c r="Y338" s="168"/>
      <c r="Z338" s="168"/>
      <c r="AA338" s="168"/>
      <c r="AB338" s="168"/>
      <c r="AC338" s="168"/>
      <c r="AD338" s="168"/>
      <c r="AE338" s="168"/>
    </row>
    <row r="339" spans="1:31" s="141" customFormat="1" x14ac:dyDescent="0.25">
      <c r="A339" s="138">
        <v>27.26</v>
      </c>
      <c r="B339" s="165" t="s">
        <v>412</v>
      </c>
      <c r="C339" s="110">
        <v>2109020</v>
      </c>
      <c r="D339" s="210" t="s">
        <v>260</v>
      </c>
      <c r="E339" s="210"/>
      <c r="F339" s="110">
        <v>796</v>
      </c>
      <c r="G339" s="81" t="s">
        <v>17</v>
      </c>
      <c r="H339" s="129">
        <v>50</v>
      </c>
      <c r="I339" s="151">
        <v>98401</v>
      </c>
      <c r="J339" s="83" t="s">
        <v>429</v>
      </c>
      <c r="K339" s="24">
        <v>500</v>
      </c>
      <c r="L339" s="24"/>
      <c r="M339" s="24"/>
      <c r="N339" s="24"/>
      <c r="O339" s="24"/>
      <c r="P339" s="211"/>
      <c r="Q339" s="83"/>
      <c r="R339" s="83"/>
      <c r="S339" s="83"/>
      <c r="T339" s="211"/>
      <c r="U339" s="83"/>
      <c r="V339" s="83">
        <v>50</v>
      </c>
      <c r="W339" s="83">
        <v>500</v>
      </c>
      <c r="X339" s="167"/>
      <c r="Y339" s="168"/>
      <c r="Z339" s="168"/>
      <c r="AA339" s="168"/>
      <c r="AB339" s="168"/>
      <c r="AC339" s="168"/>
      <c r="AD339" s="168"/>
      <c r="AE339" s="168"/>
    </row>
    <row r="340" spans="1:31" s="141" customFormat="1" x14ac:dyDescent="0.25">
      <c r="A340" s="138">
        <v>27.27</v>
      </c>
      <c r="B340" s="165" t="s">
        <v>412</v>
      </c>
      <c r="C340" s="110">
        <v>2109020</v>
      </c>
      <c r="D340" s="212" t="s">
        <v>261</v>
      </c>
      <c r="E340" s="212"/>
      <c r="F340" s="110">
        <v>796</v>
      </c>
      <c r="G340" s="81" t="s">
        <v>17</v>
      </c>
      <c r="H340" s="129">
        <v>690</v>
      </c>
      <c r="I340" s="151">
        <v>98401</v>
      </c>
      <c r="J340" s="83" t="s">
        <v>429</v>
      </c>
      <c r="K340" s="24">
        <v>22873.5</v>
      </c>
      <c r="L340" s="24"/>
      <c r="M340" s="24"/>
      <c r="N340" s="24"/>
      <c r="O340" s="24"/>
      <c r="P340" s="211">
        <v>100</v>
      </c>
      <c r="Q340" s="83">
        <v>3315</v>
      </c>
      <c r="R340" s="83">
        <v>200</v>
      </c>
      <c r="S340" s="83">
        <v>6630</v>
      </c>
      <c r="T340" s="211">
        <v>100</v>
      </c>
      <c r="U340" s="83">
        <v>3315</v>
      </c>
      <c r="V340" s="83">
        <v>290</v>
      </c>
      <c r="W340" s="83">
        <v>9613.5</v>
      </c>
      <c r="X340" s="167"/>
      <c r="Y340" s="168"/>
      <c r="Z340" s="168"/>
      <c r="AA340" s="168"/>
      <c r="AB340" s="168"/>
      <c r="AC340" s="168"/>
      <c r="AD340" s="168"/>
      <c r="AE340" s="168"/>
    </row>
    <row r="341" spans="1:31" s="141" customFormat="1" x14ac:dyDescent="0.25">
      <c r="A341" s="138">
        <v>27.28</v>
      </c>
      <c r="B341" s="165" t="s">
        <v>412</v>
      </c>
      <c r="C341" s="110">
        <v>2109020</v>
      </c>
      <c r="D341" s="212" t="s">
        <v>262</v>
      </c>
      <c r="E341" s="212"/>
      <c r="F341" s="110">
        <v>796</v>
      </c>
      <c r="G341" s="81" t="s">
        <v>17</v>
      </c>
      <c r="H341" s="129">
        <v>39</v>
      </c>
      <c r="I341" s="151">
        <v>98401</v>
      </c>
      <c r="J341" s="83" t="s">
        <v>429</v>
      </c>
      <c r="K341" s="24">
        <v>3120</v>
      </c>
      <c r="L341" s="24"/>
      <c r="M341" s="24"/>
      <c r="N341" s="24"/>
      <c r="O341" s="24"/>
      <c r="P341" s="211"/>
      <c r="Q341" s="83"/>
      <c r="R341" s="83"/>
      <c r="S341" s="83"/>
      <c r="T341" s="211"/>
      <c r="U341" s="83"/>
      <c r="V341" s="83">
        <v>39</v>
      </c>
      <c r="W341" s="83">
        <v>3120</v>
      </c>
      <c r="X341" s="167"/>
      <c r="Y341" s="168"/>
      <c r="Z341" s="168"/>
      <c r="AA341" s="168"/>
      <c r="AB341" s="168"/>
      <c r="AC341" s="168"/>
      <c r="AD341" s="168"/>
      <c r="AE341" s="168"/>
    </row>
    <row r="342" spans="1:31" s="141" customFormat="1" x14ac:dyDescent="0.25">
      <c r="A342" s="138">
        <v>27.29</v>
      </c>
      <c r="B342" s="165" t="s">
        <v>412</v>
      </c>
      <c r="C342" s="110">
        <v>2109020</v>
      </c>
      <c r="D342" s="212" t="s">
        <v>263</v>
      </c>
      <c r="E342" s="212"/>
      <c r="F342" s="110">
        <v>796</v>
      </c>
      <c r="G342" s="81" t="s">
        <v>17</v>
      </c>
      <c r="H342" s="129">
        <v>59</v>
      </c>
      <c r="I342" s="151">
        <v>98401</v>
      </c>
      <c r="J342" s="83" t="s">
        <v>429</v>
      </c>
      <c r="K342" s="24">
        <v>118</v>
      </c>
      <c r="L342" s="24"/>
      <c r="M342" s="24"/>
      <c r="N342" s="24"/>
      <c r="O342" s="24"/>
      <c r="P342" s="211"/>
      <c r="Q342" s="83"/>
      <c r="R342" s="83"/>
      <c r="S342" s="83"/>
      <c r="T342" s="211"/>
      <c r="U342" s="83"/>
      <c r="V342" s="83">
        <v>59</v>
      </c>
      <c r="W342" s="83">
        <v>118</v>
      </c>
      <c r="X342" s="167"/>
      <c r="Y342" s="168"/>
      <c r="Z342" s="168"/>
      <c r="AA342" s="168"/>
      <c r="AB342" s="168"/>
      <c r="AC342" s="168"/>
      <c r="AD342" s="168"/>
      <c r="AE342" s="168"/>
    </row>
    <row r="343" spans="1:31" s="141" customFormat="1" x14ac:dyDescent="0.25">
      <c r="A343" s="138">
        <v>27.3</v>
      </c>
      <c r="B343" s="165" t="s">
        <v>412</v>
      </c>
      <c r="C343" s="110">
        <v>2109020</v>
      </c>
      <c r="D343" s="212" t="s">
        <v>264</v>
      </c>
      <c r="E343" s="212"/>
      <c r="F343" s="110">
        <v>796</v>
      </c>
      <c r="G343" s="81" t="s">
        <v>17</v>
      </c>
      <c r="H343" s="129">
        <v>270</v>
      </c>
      <c r="I343" s="151">
        <v>98401</v>
      </c>
      <c r="J343" s="83" t="s">
        <v>429</v>
      </c>
      <c r="K343" s="24">
        <v>1269</v>
      </c>
      <c r="L343" s="24"/>
      <c r="M343" s="24"/>
      <c r="N343" s="24"/>
      <c r="O343" s="24"/>
      <c r="P343" s="211"/>
      <c r="Q343" s="83"/>
      <c r="R343" s="83"/>
      <c r="S343" s="83"/>
      <c r="T343" s="211"/>
      <c r="U343" s="83"/>
      <c r="V343" s="83">
        <v>270</v>
      </c>
      <c r="W343" s="83">
        <v>1269</v>
      </c>
      <c r="X343" s="167"/>
      <c r="Y343" s="168"/>
      <c r="Z343" s="168"/>
      <c r="AA343" s="168"/>
      <c r="AB343" s="168"/>
      <c r="AC343" s="168"/>
      <c r="AD343" s="168"/>
      <c r="AE343" s="168"/>
    </row>
    <row r="344" spans="1:31" s="141" customFormat="1" x14ac:dyDescent="0.25">
      <c r="A344" s="138">
        <v>27.31</v>
      </c>
      <c r="B344" s="165" t="s">
        <v>412</v>
      </c>
      <c r="C344" s="110">
        <v>2109020</v>
      </c>
      <c r="D344" s="212" t="s">
        <v>265</v>
      </c>
      <c r="E344" s="212"/>
      <c r="F344" s="110">
        <v>796</v>
      </c>
      <c r="G344" s="81" t="s">
        <v>17</v>
      </c>
      <c r="H344" s="129">
        <v>395</v>
      </c>
      <c r="I344" s="151">
        <v>98401</v>
      </c>
      <c r="J344" s="83" t="s">
        <v>429</v>
      </c>
      <c r="K344" s="24">
        <v>948</v>
      </c>
      <c r="L344" s="24"/>
      <c r="M344" s="24"/>
      <c r="N344" s="24"/>
      <c r="O344" s="24"/>
      <c r="P344" s="211"/>
      <c r="Q344" s="83"/>
      <c r="R344" s="83"/>
      <c r="S344" s="83"/>
      <c r="T344" s="211"/>
      <c r="U344" s="83"/>
      <c r="V344" s="83">
        <v>395</v>
      </c>
      <c r="W344" s="83">
        <v>948</v>
      </c>
      <c r="X344" s="167"/>
      <c r="Y344" s="168"/>
      <c r="Z344" s="168"/>
      <c r="AA344" s="168"/>
      <c r="AB344" s="168"/>
      <c r="AC344" s="168"/>
      <c r="AD344" s="168"/>
      <c r="AE344" s="168"/>
    </row>
    <row r="345" spans="1:31" s="141" customFormat="1" x14ac:dyDescent="0.25">
      <c r="A345" s="138">
        <v>27.32</v>
      </c>
      <c r="B345" s="165" t="s">
        <v>412</v>
      </c>
      <c r="C345" s="110">
        <v>2109020</v>
      </c>
      <c r="D345" s="172" t="s">
        <v>266</v>
      </c>
      <c r="E345" s="172"/>
      <c r="F345" s="110">
        <v>796</v>
      </c>
      <c r="G345" s="81" t="s">
        <v>17</v>
      </c>
      <c r="H345" s="129">
        <v>31</v>
      </c>
      <c r="I345" s="151">
        <v>98401</v>
      </c>
      <c r="J345" s="83" t="s">
        <v>429</v>
      </c>
      <c r="K345" s="24">
        <v>3286</v>
      </c>
      <c r="L345" s="24"/>
      <c r="M345" s="24"/>
      <c r="N345" s="24"/>
      <c r="O345" s="24"/>
      <c r="P345" s="211">
        <v>6</v>
      </c>
      <c r="Q345" s="83">
        <v>636</v>
      </c>
      <c r="R345" s="83">
        <v>10</v>
      </c>
      <c r="S345" s="83">
        <v>1060</v>
      </c>
      <c r="T345" s="211"/>
      <c r="U345" s="83"/>
      <c r="V345" s="83">
        <v>15</v>
      </c>
      <c r="W345" s="83">
        <v>1590</v>
      </c>
      <c r="X345" s="167"/>
      <c r="Y345" s="168"/>
      <c r="Z345" s="168"/>
      <c r="AA345" s="168"/>
      <c r="AB345" s="168"/>
      <c r="AC345" s="168"/>
      <c r="AD345" s="168"/>
      <c r="AE345" s="168"/>
    </row>
    <row r="346" spans="1:31" s="141" customFormat="1" x14ac:dyDescent="0.25">
      <c r="A346" s="138">
        <v>27.33</v>
      </c>
      <c r="B346" s="165" t="s">
        <v>412</v>
      </c>
      <c r="C346" s="110">
        <v>2109020</v>
      </c>
      <c r="D346" s="212" t="s">
        <v>267</v>
      </c>
      <c r="E346" s="212"/>
      <c r="F346" s="110">
        <v>796</v>
      </c>
      <c r="G346" s="81" t="s">
        <v>17</v>
      </c>
      <c r="H346" s="129">
        <v>97</v>
      </c>
      <c r="I346" s="151">
        <v>98401</v>
      </c>
      <c r="J346" s="83" t="s">
        <v>429</v>
      </c>
      <c r="K346" s="24">
        <v>2425</v>
      </c>
      <c r="L346" s="24"/>
      <c r="M346" s="24"/>
      <c r="N346" s="24"/>
      <c r="O346" s="24"/>
      <c r="P346" s="211"/>
      <c r="Q346" s="83"/>
      <c r="R346" s="83">
        <v>50</v>
      </c>
      <c r="S346" s="83">
        <v>1250</v>
      </c>
      <c r="T346" s="211"/>
      <c r="U346" s="83"/>
      <c r="V346" s="83">
        <v>47</v>
      </c>
      <c r="W346" s="83">
        <v>1175</v>
      </c>
      <c r="X346" s="167"/>
      <c r="Y346" s="168"/>
      <c r="Z346" s="168"/>
      <c r="AA346" s="168"/>
      <c r="AB346" s="168"/>
      <c r="AC346" s="168"/>
      <c r="AD346" s="168"/>
      <c r="AE346" s="168"/>
    </row>
    <row r="347" spans="1:31" s="141" customFormat="1" x14ac:dyDescent="0.25">
      <c r="A347" s="138">
        <v>27.34</v>
      </c>
      <c r="B347" s="165" t="s">
        <v>412</v>
      </c>
      <c r="C347" s="110">
        <v>2109020</v>
      </c>
      <c r="D347" s="212" t="s">
        <v>268</v>
      </c>
      <c r="E347" s="212"/>
      <c r="F347" s="110">
        <v>796</v>
      </c>
      <c r="G347" s="81" t="s">
        <v>17</v>
      </c>
      <c r="H347" s="129">
        <v>50</v>
      </c>
      <c r="I347" s="151">
        <v>98401</v>
      </c>
      <c r="J347" s="83" t="s">
        <v>429</v>
      </c>
      <c r="K347" s="24">
        <v>2700</v>
      </c>
      <c r="L347" s="24"/>
      <c r="M347" s="24"/>
      <c r="N347" s="24"/>
      <c r="O347" s="24"/>
      <c r="P347" s="211"/>
      <c r="Q347" s="83"/>
      <c r="R347" s="83">
        <v>50</v>
      </c>
      <c r="S347" s="83">
        <v>2700</v>
      </c>
      <c r="T347" s="211"/>
      <c r="U347" s="83"/>
      <c r="V347" s="83">
        <v>0</v>
      </c>
      <c r="W347" s="83">
        <v>0</v>
      </c>
      <c r="X347" s="167"/>
      <c r="Y347" s="168"/>
      <c r="Z347" s="168"/>
      <c r="AA347" s="168"/>
      <c r="AB347" s="168"/>
      <c r="AC347" s="168"/>
      <c r="AD347" s="168"/>
      <c r="AE347" s="168"/>
    </row>
    <row r="348" spans="1:31" s="141" customFormat="1" x14ac:dyDescent="0.25">
      <c r="A348" s="138">
        <v>27.35</v>
      </c>
      <c r="B348" s="165" t="s">
        <v>412</v>
      </c>
      <c r="C348" s="110">
        <v>2109020</v>
      </c>
      <c r="D348" s="212" t="s">
        <v>269</v>
      </c>
      <c r="E348" s="212"/>
      <c r="F348" s="110">
        <v>796</v>
      </c>
      <c r="G348" s="81" t="s">
        <v>17</v>
      </c>
      <c r="H348" s="129">
        <v>88</v>
      </c>
      <c r="I348" s="151">
        <v>98401</v>
      </c>
      <c r="J348" s="83" t="s">
        <v>429</v>
      </c>
      <c r="K348" s="24">
        <v>4752</v>
      </c>
      <c r="L348" s="24"/>
      <c r="M348" s="24"/>
      <c r="N348" s="24"/>
      <c r="O348" s="24"/>
      <c r="P348" s="211"/>
      <c r="Q348" s="83"/>
      <c r="R348" s="83"/>
      <c r="S348" s="83"/>
      <c r="T348" s="211"/>
      <c r="U348" s="83"/>
      <c r="V348" s="83">
        <v>88</v>
      </c>
      <c r="W348" s="83">
        <v>4752</v>
      </c>
      <c r="X348" s="167"/>
      <c r="Y348" s="168"/>
      <c r="Z348" s="168"/>
      <c r="AA348" s="168"/>
      <c r="AB348" s="168"/>
      <c r="AC348" s="168"/>
      <c r="AD348" s="168"/>
      <c r="AE348" s="168"/>
    </row>
    <row r="349" spans="1:31" s="141" customFormat="1" x14ac:dyDescent="0.25">
      <c r="A349" s="138">
        <v>27.36</v>
      </c>
      <c r="B349" s="165" t="s">
        <v>412</v>
      </c>
      <c r="C349" s="110">
        <v>2109020</v>
      </c>
      <c r="D349" s="212" t="s">
        <v>270</v>
      </c>
      <c r="E349" s="212"/>
      <c r="F349" s="110">
        <v>796</v>
      </c>
      <c r="G349" s="81" t="s">
        <v>17</v>
      </c>
      <c r="H349" s="129">
        <v>254</v>
      </c>
      <c r="I349" s="151">
        <v>98401</v>
      </c>
      <c r="J349" s="83" t="s">
        <v>429</v>
      </c>
      <c r="K349" s="24">
        <v>1143</v>
      </c>
      <c r="L349" s="24"/>
      <c r="M349" s="24"/>
      <c r="N349" s="24"/>
      <c r="O349" s="24"/>
      <c r="P349" s="211"/>
      <c r="Q349" s="83"/>
      <c r="R349" s="83">
        <v>50</v>
      </c>
      <c r="S349" s="83">
        <v>225</v>
      </c>
      <c r="T349" s="211">
        <v>50</v>
      </c>
      <c r="U349" s="83">
        <v>250</v>
      </c>
      <c r="V349" s="83">
        <v>154</v>
      </c>
      <c r="W349" s="83">
        <v>668</v>
      </c>
      <c r="X349" s="167"/>
      <c r="Y349" s="168"/>
      <c r="Z349" s="168"/>
      <c r="AA349" s="168"/>
      <c r="AB349" s="168"/>
      <c r="AC349" s="168"/>
      <c r="AD349" s="168"/>
      <c r="AE349" s="168"/>
    </row>
    <row r="350" spans="1:31" s="141" customFormat="1" x14ac:dyDescent="0.25">
      <c r="A350" s="138">
        <v>27.37</v>
      </c>
      <c r="B350" s="165" t="s">
        <v>412</v>
      </c>
      <c r="C350" s="110">
        <v>2109020</v>
      </c>
      <c r="D350" s="212" t="s">
        <v>271</v>
      </c>
      <c r="E350" s="212"/>
      <c r="F350" s="110">
        <v>796</v>
      </c>
      <c r="G350" s="81" t="s">
        <v>17</v>
      </c>
      <c r="H350" s="129">
        <v>2</v>
      </c>
      <c r="I350" s="151">
        <v>98401</v>
      </c>
      <c r="J350" s="83" t="s">
        <v>429</v>
      </c>
      <c r="K350" s="24">
        <v>56</v>
      </c>
      <c r="L350" s="24"/>
      <c r="M350" s="24"/>
      <c r="N350" s="24"/>
      <c r="O350" s="24"/>
      <c r="P350" s="211"/>
      <c r="Q350" s="83"/>
      <c r="R350" s="83"/>
      <c r="S350" s="83"/>
      <c r="T350" s="211"/>
      <c r="U350" s="83"/>
      <c r="V350" s="83">
        <v>2</v>
      </c>
      <c r="W350" s="83">
        <v>56</v>
      </c>
      <c r="X350" s="167"/>
      <c r="Y350" s="168"/>
      <c r="Z350" s="168"/>
      <c r="AA350" s="168"/>
      <c r="AB350" s="168"/>
      <c r="AC350" s="168"/>
      <c r="AD350" s="168"/>
      <c r="AE350" s="168"/>
    </row>
    <row r="351" spans="1:31" s="141" customFormat="1" x14ac:dyDescent="0.25">
      <c r="A351" s="138">
        <v>27.38</v>
      </c>
      <c r="B351" s="165" t="s">
        <v>412</v>
      </c>
      <c r="C351" s="110">
        <v>2109020</v>
      </c>
      <c r="D351" s="212" t="s">
        <v>272</v>
      </c>
      <c r="E351" s="212"/>
      <c r="F351" s="110">
        <v>796</v>
      </c>
      <c r="G351" s="81" t="s">
        <v>17</v>
      </c>
      <c r="H351" s="129">
        <v>19</v>
      </c>
      <c r="I351" s="151">
        <v>98401</v>
      </c>
      <c r="J351" s="83" t="s">
        <v>429</v>
      </c>
      <c r="K351" s="24">
        <v>950</v>
      </c>
      <c r="L351" s="24"/>
      <c r="M351" s="24"/>
      <c r="N351" s="24"/>
      <c r="O351" s="24"/>
      <c r="P351" s="211"/>
      <c r="Q351" s="83"/>
      <c r="R351" s="83"/>
      <c r="S351" s="83"/>
      <c r="T351" s="211"/>
      <c r="U351" s="83"/>
      <c r="V351" s="83">
        <v>19</v>
      </c>
      <c r="W351" s="83">
        <v>950</v>
      </c>
      <c r="X351" s="167"/>
      <c r="Y351" s="168"/>
      <c r="Z351" s="168"/>
      <c r="AA351" s="168"/>
      <c r="AB351" s="168"/>
      <c r="AC351" s="168"/>
      <c r="AD351" s="168"/>
      <c r="AE351" s="168"/>
    </row>
    <row r="352" spans="1:31" s="141" customFormat="1" x14ac:dyDescent="0.25">
      <c r="A352" s="138">
        <v>27.39</v>
      </c>
      <c r="B352" s="165" t="s">
        <v>412</v>
      </c>
      <c r="C352" s="110">
        <v>2109020</v>
      </c>
      <c r="D352" s="212" t="s">
        <v>273</v>
      </c>
      <c r="E352" s="212"/>
      <c r="F352" s="110">
        <v>796</v>
      </c>
      <c r="G352" s="81" t="s">
        <v>17</v>
      </c>
      <c r="H352" s="129">
        <v>2</v>
      </c>
      <c r="I352" s="151">
        <v>98401</v>
      </c>
      <c r="J352" s="83" t="s">
        <v>429</v>
      </c>
      <c r="K352" s="24">
        <v>100</v>
      </c>
      <c r="L352" s="24"/>
      <c r="M352" s="24"/>
      <c r="N352" s="24"/>
      <c r="O352" s="24"/>
      <c r="P352" s="211"/>
      <c r="Q352" s="83"/>
      <c r="R352" s="83"/>
      <c r="S352" s="83"/>
      <c r="T352" s="211"/>
      <c r="U352" s="83"/>
      <c r="V352" s="83">
        <v>2</v>
      </c>
      <c r="W352" s="83">
        <v>100</v>
      </c>
      <c r="X352" s="167"/>
      <c r="Y352" s="168"/>
      <c r="Z352" s="168"/>
      <c r="AA352" s="168"/>
      <c r="AB352" s="168"/>
      <c r="AC352" s="168"/>
      <c r="AD352" s="168"/>
      <c r="AE352" s="168"/>
    </row>
    <row r="353" spans="1:31" s="141" customFormat="1" x14ac:dyDescent="0.25">
      <c r="A353" s="138">
        <v>27.4</v>
      </c>
      <c r="B353" s="165" t="s">
        <v>412</v>
      </c>
      <c r="C353" s="110">
        <v>2109020</v>
      </c>
      <c r="D353" s="212" t="s">
        <v>274</v>
      </c>
      <c r="E353" s="212"/>
      <c r="F353" s="110">
        <v>796</v>
      </c>
      <c r="G353" s="81" t="s">
        <v>17</v>
      </c>
      <c r="H353" s="129">
        <v>30</v>
      </c>
      <c r="I353" s="151">
        <v>98401</v>
      </c>
      <c r="J353" s="83" t="s">
        <v>429</v>
      </c>
      <c r="K353" s="24">
        <v>3723</v>
      </c>
      <c r="L353" s="24"/>
      <c r="M353" s="24"/>
      <c r="N353" s="24"/>
      <c r="O353" s="24"/>
      <c r="P353" s="211"/>
      <c r="Q353" s="83"/>
      <c r="R353" s="83">
        <v>30</v>
      </c>
      <c r="S353" s="83">
        <v>3723</v>
      </c>
      <c r="T353" s="211"/>
      <c r="U353" s="83"/>
      <c r="V353" s="83">
        <v>0</v>
      </c>
      <c r="W353" s="83">
        <v>0</v>
      </c>
      <c r="X353" s="167"/>
      <c r="Y353" s="168"/>
      <c r="Z353" s="168"/>
      <c r="AA353" s="168"/>
      <c r="AB353" s="168"/>
      <c r="AC353" s="168"/>
      <c r="AD353" s="168"/>
      <c r="AE353" s="168"/>
    </row>
    <row r="354" spans="1:31" s="141" customFormat="1" x14ac:dyDescent="0.25">
      <c r="A354" s="138">
        <v>27.41</v>
      </c>
      <c r="B354" s="165" t="s">
        <v>412</v>
      </c>
      <c r="C354" s="110">
        <v>2109020</v>
      </c>
      <c r="D354" s="210" t="s">
        <v>275</v>
      </c>
      <c r="E354" s="210"/>
      <c r="F354" s="110">
        <v>796</v>
      </c>
      <c r="G354" s="81" t="s">
        <v>17</v>
      </c>
      <c r="H354" s="129">
        <v>60</v>
      </c>
      <c r="I354" s="151">
        <v>98401</v>
      </c>
      <c r="J354" s="83" t="s">
        <v>429</v>
      </c>
      <c r="K354" s="24">
        <v>2040</v>
      </c>
      <c r="L354" s="24"/>
      <c r="M354" s="24"/>
      <c r="N354" s="24"/>
      <c r="O354" s="24"/>
      <c r="P354" s="211"/>
      <c r="Q354" s="83"/>
      <c r="R354" s="83">
        <v>60</v>
      </c>
      <c r="S354" s="83">
        <v>2040</v>
      </c>
      <c r="T354" s="211"/>
      <c r="U354" s="83"/>
      <c r="V354" s="83">
        <v>0</v>
      </c>
      <c r="W354" s="83">
        <v>0</v>
      </c>
      <c r="X354" s="167"/>
      <c r="Y354" s="168"/>
      <c r="Z354" s="168"/>
      <c r="AA354" s="168"/>
      <c r="AB354" s="168"/>
      <c r="AC354" s="168"/>
      <c r="AD354" s="168"/>
      <c r="AE354" s="168"/>
    </row>
    <row r="355" spans="1:31" s="141" customFormat="1" x14ac:dyDescent="0.25">
      <c r="A355" s="138">
        <v>27.42</v>
      </c>
      <c r="B355" s="165" t="s">
        <v>412</v>
      </c>
      <c r="C355" s="110">
        <v>2109020</v>
      </c>
      <c r="D355" s="210" t="s">
        <v>276</v>
      </c>
      <c r="E355" s="210"/>
      <c r="F355" s="110">
        <v>796</v>
      </c>
      <c r="G355" s="81" t="s">
        <v>17</v>
      </c>
      <c r="H355" s="129">
        <v>42</v>
      </c>
      <c r="I355" s="151">
        <v>98401</v>
      </c>
      <c r="J355" s="83" t="s">
        <v>429</v>
      </c>
      <c r="K355" s="24">
        <v>1680</v>
      </c>
      <c r="L355" s="24"/>
      <c r="M355" s="24"/>
      <c r="N355" s="24"/>
      <c r="O355" s="24"/>
      <c r="P355" s="211"/>
      <c r="Q355" s="83"/>
      <c r="R355" s="83"/>
      <c r="S355" s="83"/>
      <c r="T355" s="211"/>
      <c r="U355" s="83"/>
      <c r="V355" s="83">
        <v>42</v>
      </c>
      <c r="W355" s="83">
        <v>1680</v>
      </c>
      <c r="X355" s="167"/>
      <c r="Y355" s="168"/>
      <c r="Z355" s="168"/>
      <c r="AA355" s="168"/>
      <c r="AB355" s="168"/>
      <c r="AC355" s="168"/>
      <c r="AD355" s="168"/>
      <c r="AE355" s="168"/>
    </row>
    <row r="356" spans="1:31" s="141" customFormat="1" x14ac:dyDescent="0.25">
      <c r="A356" s="138">
        <v>27.43</v>
      </c>
      <c r="B356" s="165" t="s">
        <v>412</v>
      </c>
      <c r="C356" s="110">
        <v>2109020</v>
      </c>
      <c r="D356" s="210" t="s">
        <v>277</v>
      </c>
      <c r="E356" s="210"/>
      <c r="F356" s="110">
        <v>796</v>
      </c>
      <c r="G356" s="81" t="s">
        <v>17</v>
      </c>
      <c r="H356" s="129">
        <v>24</v>
      </c>
      <c r="I356" s="151">
        <v>98401</v>
      </c>
      <c r="J356" s="83" t="s">
        <v>429</v>
      </c>
      <c r="K356" s="24">
        <v>960</v>
      </c>
      <c r="L356" s="24"/>
      <c r="M356" s="24"/>
      <c r="N356" s="24"/>
      <c r="O356" s="24"/>
      <c r="P356" s="211"/>
      <c r="Q356" s="83"/>
      <c r="R356" s="83"/>
      <c r="S356" s="83"/>
      <c r="T356" s="211"/>
      <c r="U356" s="83"/>
      <c r="V356" s="83">
        <v>24</v>
      </c>
      <c r="W356" s="83">
        <v>960</v>
      </c>
      <c r="X356" s="167"/>
      <c r="Y356" s="168"/>
      <c r="Z356" s="168"/>
      <c r="AA356" s="168"/>
      <c r="AB356" s="168"/>
      <c r="AC356" s="168"/>
      <c r="AD356" s="168"/>
      <c r="AE356" s="168"/>
    </row>
    <row r="357" spans="1:31" s="141" customFormat="1" x14ac:dyDescent="0.25">
      <c r="A357" s="138">
        <v>27.440000000000101</v>
      </c>
      <c r="B357" s="165" t="s">
        <v>412</v>
      </c>
      <c r="C357" s="110">
        <v>2109020</v>
      </c>
      <c r="D357" s="212" t="s">
        <v>278</v>
      </c>
      <c r="E357" s="212"/>
      <c r="F357" s="110">
        <v>796</v>
      </c>
      <c r="G357" s="81" t="s">
        <v>17</v>
      </c>
      <c r="H357" s="129">
        <v>70</v>
      </c>
      <c r="I357" s="151">
        <v>98401</v>
      </c>
      <c r="J357" s="83" t="s">
        <v>429</v>
      </c>
      <c r="K357" s="24">
        <v>11060</v>
      </c>
      <c r="L357" s="24"/>
      <c r="M357" s="24"/>
      <c r="N357" s="24"/>
      <c r="O357" s="24"/>
      <c r="P357" s="211"/>
      <c r="Q357" s="83"/>
      <c r="R357" s="83"/>
      <c r="S357" s="83"/>
      <c r="T357" s="211"/>
      <c r="U357" s="83"/>
      <c r="V357" s="83">
        <v>70</v>
      </c>
      <c r="W357" s="83">
        <v>11060</v>
      </c>
      <c r="X357" s="167"/>
      <c r="Y357" s="168"/>
      <c r="Z357" s="168"/>
      <c r="AA357" s="168"/>
      <c r="AB357" s="168"/>
      <c r="AC357" s="168"/>
      <c r="AD357" s="168"/>
      <c r="AE357" s="168"/>
    </row>
    <row r="358" spans="1:31" s="141" customFormat="1" x14ac:dyDescent="0.25">
      <c r="A358" s="138">
        <v>27.450000000000099</v>
      </c>
      <c r="B358" s="165" t="s">
        <v>412</v>
      </c>
      <c r="C358" s="110">
        <v>2109020</v>
      </c>
      <c r="D358" s="212" t="s">
        <v>279</v>
      </c>
      <c r="E358" s="212"/>
      <c r="F358" s="110">
        <v>796</v>
      </c>
      <c r="G358" s="81" t="s">
        <v>17</v>
      </c>
      <c r="H358" s="129">
        <v>29</v>
      </c>
      <c r="I358" s="151">
        <v>98401</v>
      </c>
      <c r="J358" s="83" t="s">
        <v>429</v>
      </c>
      <c r="K358" s="24">
        <v>1653</v>
      </c>
      <c r="L358" s="24"/>
      <c r="M358" s="24"/>
      <c r="N358" s="24"/>
      <c r="O358" s="24"/>
      <c r="P358" s="211"/>
      <c r="Q358" s="83"/>
      <c r="R358" s="83">
        <v>20</v>
      </c>
      <c r="S358" s="83">
        <v>1140</v>
      </c>
      <c r="T358" s="211"/>
      <c r="U358" s="83"/>
      <c r="V358" s="83">
        <v>9</v>
      </c>
      <c r="W358" s="83">
        <v>513</v>
      </c>
      <c r="X358" s="167"/>
      <c r="Y358" s="168"/>
      <c r="Z358" s="168"/>
      <c r="AA358" s="168"/>
      <c r="AB358" s="168"/>
      <c r="AC358" s="168"/>
      <c r="AD358" s="168"/>
      <c r="AE358" s="168"/>
    </row>
    <row r="359" spans="1:31" s="141" customFormat="1" x14ac:dyDescent="0.25">
      <c r="A359" s="138">
        <v>27.4600000000001</v>
      </c>
      <c r="B359" s="165" t="s">
        <v>412</v>
      </c>
      <c r="C359" s="110">
        <v>2109020</v>
      </c>
      <c r="D359" s="212" t="s">
        <v>280</v>
      </c>
      <c r="E359" s="212"/>
      <c r="F359" s="110">
        <v>796</v>
      </c>
      <c r="G359" s="81" t="s">
        <v>17</v>
      </c>
      <c r="H359" s="129">
        <v>51</v>
      </c>
      <c r="I359" s="151">
        <v>98401</v>
      </c>
      <c r="J359" s="83" t="s">
        <v>429</v>
      </c>
      <c r="K359" s="24">
        <v>1683</v>
      </c>
      <c r="L359" s="24"/>
      <c r="M359" s="24"/>
      <c r="N359" s="24"/>
      <c r="O359" s="24"/>
      <c r="P359" s="211"/>
      <c r="Q359" s="83"/>
      <c r="R359" s="83"/>
      <c r="S359" s="83"/>
      <c r="T359" s="211"/>
      <c r="U359" s="83"/>
      <c r="V359" s="83">
        <v>51</v>
      </c>
      <c r="W359" s="83">
        <v>1683</v>
      </c>
      <c r="X359" s="167"/>
      <c r="Y359" s="168"/>
      <c r="Z359" s="168"/>
      <c r="AA359" s="168"/>
      <c r="AB359" s="168"/>
      <c r="AC359" s="168"/>
      <c r="AD359" s="168"/>
      <c r="AE359" s="168"/>
    </row>
    <row r="360" spans="1:31" s="141" customFormat="1" x14ac:dyDescent="0.25">
      <c r="A360" s="138">
        <v>27.470000000000098</v>
      </c>
      <c r="B360" s="165" t="s">
        <v>412</v>
      </c>
      <c r="C360" s="110">
        <v>2109020</v>
      </c>
      <c r="D360" s="212" t="s">
        <v>281</v>
      </c>
      <c r="E360" s="212"/>
      <c r="F360" s="110">
        <v>796</v>
      </c>
      <c r="G360" s="81" t="s">
        <v>17</v>
      </c>
      <c r="H360" s="129">
        <v>100</v>
      </c>
      <c r="I360" s="151">
        <v>98401</v>
      </c>
      <c r="J360" s="83" t="s">
        <v>429</v>
      </c>
      <c r="K360" s="24">
        <v>65000</v>
      </c>
      <c r="L360" s="24"/>
      <c r="M360" s="24"/>
      <c r="N360" s="24"/>
      <c r="O360" s="24"/>
      <c r="P360" s="211"/>
      <c r="Q360" s="83"/>
      <c r="R360" s="83"/>
      <c r="S360" s="83"/>
      <c r="T360" s="211"/>
      <c r="U360" s="83">
        <v>0</v>
      </c>
      <c r="V360" s="83">
        <v>100</v>
      </c>
      <c r="W360" s="83">
        <v>65000</v>
      </c>
      <c r="X360" s="167"/>
      <c r="Y360" s="168"/>
      <c r="Z360" s="168"/>
      <c r="AA360" s="168"/>
      <c r="AB360" s="168"/>
      <c r="AC360" s="168"/>
      <c r="AD360" s="168"/>
      <c r="AE360" s="168"/>
    </row>
    <row r="361" spans="1:31" s="141" customFormat="1" x14ac:dyDescent="0.25">
      <c r="A361" s="138">
        <v>27.4800000000001</v>
      </c>
      <c r="B361" s="165" t="s">
        <v>412</v>
      </c>
      <c r="C361" s="110">
        <v>2109020</v>
      </c>
      <c r="D361" s="212" t="s">
        <v>282</v>
      </c>
      <c r="E361" s="212"/>
      <c r="F361" s="110">
        <v>796</v>
      </c>
      <c r="G361" s="81" t="s">
        <v>17</v>
      </c>
      <c r="H361" s="129">
        <v>101</v>
      </c>
      <c r="I361" s="151">
        <v>98401</v>
      </c>
      <c r="J361" s="83" t="s">
        <v>429</v>
      </c>
      <c r="K361" s="24">
        <v>55550</v>
      </c>
      <c r="L361" s="24"/>
      <c r="M361" s="24"/>
      <c r="N361" s="24"/>
      <c r="O361" s="24"/>
      <c r="P361" s="211"/>
      <c r="Q361" s="83"/>
      <c r="R361" s="83"/>
      <c r="S361" s="83"/>
      <c r="T361" s="211"/>
      <c r="U361" s="83"/>
      <c r="V361" s="83">
        <v>101</v>
      </c>
      <c r="W361" s="83">
        <v>55550</v>
      </c>
      <c r="X361" s="167"/>
      <c r="Y361" s="168"/>
      <c r="Z361" s="168"/>
      <c r="AA361" s="168"/>
      <c r="AB361" s="168"/>
      <c r="AC361" s="168"/>
      <c r="AD361" s="168"/>
      <c r="AE361" s="168"/>
    </row>
    <row r="362" spans="1:31" s="141" customFormat="1" x14ac:dyDescent="0.25">
      <c r="A362" s="138">
        <v>27.490000000000101</v>
      </c>
      <c r="B362" s="165" t="s">
        <v>412</v>
      </c>
      <c r="C362" s="110">
        <v>2109020</v>
      </c>
      <c r="D362" s="210" t="s">
        <v>283</v>
      </c>
      <c r="E362" s="210"/>
      <c r="F362" s="110">
        <v>796</v>
      </c>
      <c r="G362" s="81" t="s">
        <v>17</v>
      </c>
      <c r="H362" s="129">
        <v>17</v>
      </c>
      <c r="I362" s="151">
        <v>98401</v>
      </c>
      <c r="J362" s="83" t="s">
        <v>429</v>
      </c>
      <c r="K362" s="24">
        <v>11900</v>
      </c>
      <c r="L362" s="24"/>
      <c r="M362" s="24"/>
      <c r="N362" s="24"/>
      <c r="O362" s="24"/>
      <c r="P362" s="211"/>
      <c r="Q362" s="83"/>
      <c r="R362" s="83"/>
      <c r="S362" s="83"/>
      <c r="T362" s="211"/>
      <c r="U362" s="83"/>
      <c r="V362" s="83">
        <v>17</v>
      </c>
      <c r="W362" s="83">
        <v>11900</v>
      </c>
      <c r="X362" s="167"/>
      <c r="Y362" s="168"/>
      <c r="Z362" s="168"/>
      <c r="AA362" s="168"/>
      <c r="AB362" s="168"/>
      <c r="AC362" s="168"/>
      <c r="AD362" s="168"/>
      <c r="AE362" s="168"/>
    </row>
    <row r="363" spans="1:31" s="141" customFormat="1" x14ac:dyDescent="0.25">
      <c r="A363" s="138">
        <v>27.500000000000099</v>
      </c>
      <c r="B363" s="165" t="s">
        <v>412</v>
      </c>
      <c r="C363" s="110">
        <v>2109020</v>
      </c>
      <c r="D363" s="210" t="s">
        <v>284</v>
      </c>
      <c r="E363" s="210"/>
      <c r="F363" s="110">
        <v>796</v>
      </c>
      <c r="G363" s="81" t="s">
        <v>17</v>
      </c>
      <c r="H363" s="129">
        <v>17</v>
      </c>
      <c r="I363" s="151">
        <v>98401</v>
      </c>
      <c r="J363" s="83" t="s">
        <v>429</v>
      </c>
      <c r="K363" s="24">
        <v>11050</v>
      </c>
      <c r="L363" s="24"/>
      <c r="M363" s="24"/>
      <c r="N363" s="24"/>
      <c r="O363" s="24"/>
      <c r="P363" s="211"/>
      <c r="Q363" s="83"/>
      <c r="R363" s="83"/>
      <c r="S363" s="83"/>
      <c r="T363" s="211"/>
      <c r="U363" s="83"/>
      <c r="V363" s="83">
        <v>17</v>
      </c>
      <c r="W363" s="83">
        <v>11050</v>
      </c>
      <c r="X363" s="167"/>
      <c r="Y363" s="168"/>
      <c r="Z363" s="168"/>
      <c r="AA363" s="168"/>
      <c r="AB363" s="168"/>
      <c r="AC363" s="168"/>
      <c r="AD363" s="168"/>
      <c r="AE363" s="168"/>
    </row>
    <row r="364" spans="1:31" s="141" customFormat="1" x14ac:dyDescent="0.25">
      <c r="A364" s="138">
        <v>27.510000000000101</v>
      </c>
      <c r="B364" s="165" t="s">
        <v>412</v>
      </c>
      <c r="C364" s="110">
        <v>2109020</v>
      </c>
      <c r="D364" s="212" t="s">
        <v>285</v>
      </c>
      <c r="E364" s="212"/>
      <c r="F364" s="110">
        <v>796</v>
      </c>
      <c r="G364" s="81" t="s">
        <v>17</v>
      </c>
      <c r="H364" s="129">
        <v>1200</v>
      </c>
      <c r="I364" s="151">
        <v>98401</v>
      </c>
      <c r="J364" s="83" t="s">
        <v>429</v>
      </c>
      <c r="K364" s="24">
        <v>10800</v>
      </c>
      <c r="L364" s="24"/>
      <c r="M364" s="24"/>
      <c r="N364" s="24"/>
      <c r="O364" s="24"/>
      <c r="P364" s="211"/>
      <c r="Q364" s="83"/>
      <c r="R364" s="83">
        <v>1000</v>
      </c>
      <c r="S364" s="83">
        <v>9000</v>
      </c>
      <c r="T364" s="211"/>
      <c r="U364" s="83"/>
      <c r="V364" s="83">
        <v>200</v>
      </c>
      <c r="W364" s="83">
        <v>1800</v>
      </c>
      <c r="X364" s="167"/>
      <c r="Y364" s="168"/>
      <c r="Z364" s="168"/>
      <c r="AA364" s="168"/>
      <c r="AB364" s="168"/>
      <c r="AC364" s="168"/>
      <c r="AD364" s="168"/>
      <c r="AE364" s="168"/>
    </row>
    <row r="365" spans="1:31" s="141" customFormat="1" x14ac:dyDescent="0.25">
      <c r="A365" s="138">
        <v>27.520000000000099</v>
      </c>
      <c r="B365" s="165" t="s">
        <v>412</v>
      </c>
      <c r="C365" s="110">
        <v>2109020</v>
      </c>
      <c r="D365" s="212" t="s">
        <v>286</v>
      </c>
      <c r="E365" s="212"/>
      <c r="F365" s="110">
        <v>796</v>
      </c>
      <c r="G365" s="81" t="s">
        <v>17</v>
      </c>
      <c r="H365" s="129">
        <v>4000</v>
      </c>
      <c r="I365" s="151">
        <v>98401</v>
      </c>
      <c r="J365" s="83" t="s">
        <v>429</v>
      </c>
      <c r="K365" s="24">
        <v>36000</v>
      </c>
      <c r="L365" s="24"/>
      <c r="M365" s="24"/>
      <c r="N365" s="24"/>
      <c r="O365" s="24"/>
      <c r="P365" s="211"/>
      <c r="Q365" s="83"/>
      <c r="R365" s="83">
        <v>4000</v>
      </c>
      <c r="S365" s="83">
        <v>36000</v>
      </c>
      <c r="T365" s="211"/>
      <c r="U365" s="83"/>
      <c r="V365" s="83">
        <v>0</v>
      </c>
      <c r="W365" s="83">
        <v>0</v>
      </c>
      <c r="X365" s="167"/>
      <c r="Y365" s="168"/>
      <c r="Z365" s="168"/>
      <c r="AA365" s="168"/>
      <c r="AB365" s="168"/>
      <c r="AC365" s="168"/>
      <c r="AD365" s="168"/>
      <c r="AE365" s="168"/>
    </row>
    <row r="366" spans="1:31" s="141" customFormat="1" x14ac:dyDescent="0.25">
      <c r="A366" s="138">
        <v>27.530000000000101</v>
      </c>
      <c r="B366" s="165" t="s">
        <v>412</v>
      </c>
      <c r="C366" s="110">
        <v>2109020</v>
      </c>
      <c r="D366" s="212" t="s">
        <v>287</v>
      </c>
      <c r="E366" s="212"/>
      <c r="F366" s="110">
        <v>796</v>
      </c>
      <c r="G366" s="81" t="s">
        <v>17</v>
      </c>
      <c r="H366" s="129">
        <v>138</v>
      </c>
      <c r="I366" s="151">
        <v>98401</v>
      </c>
      <c r="J366" s="83" t="s">
        <v>429</v>
      </c>
      <c r="K366" s="24">
        <v>10350</v>
      </c>
      <c r="L366" s="24"/>
      <c r="M366" s="24"/>
      <c r="N366" s="24"/>
      <c r="O366" s="24"/>
      <c r="P366" s="211"/>
      <c r="Q366" s="83"/>
      <c r="R366" s="83">
        <v>100</v>
      </c>
      <c r="S366" s="83">
        <v>7500</v>
      </c>
      <c r="T366" s="211"/>
      <c r="U366" s="83"/>
      <c r="V366" s="83">
        <v>38</v>
      </c>
      <c r="W366" s="83">
        <v>2850</v>
      </c>
      <c r="X366" s="167"/>
      <c r="Y366" s="168"/>
      <c r="Z366" s="168"/>
      <c r="AA366" s="168"/>
      <c r="AB366" s="168"/>
      <c r="AC366" s="168"/>
      <c r="AD366" s="168"/>
      <c r="AE366" s="168"/>
    </row>
    <row r="367" spans="1:31" s="141" customFormat="1" x14ac:dyDescent="0.25">
      <c r="A367" s="138">
        <v>27.540000000000099</v>
      </c>
      <c r="B367" s="165" t="s">
        <v>412</v>
      </c>
      <c r="C367" s="110">
        <v>2109020</v>
      </c>
      <c r="D367" s="212" t="s">
        <v>288</v>
      </c>
      <c r="E367" s="212"/>
      <c r="F367" s="110">
        <v>796</v>
      </c>
      <c r="G367" s="81" t="s">
        <v>17</v>
      </c>
      <c r="H367" s="129">
        <v>180</v>
      </c>
      <c r="I367" s="151">
        <v>98401</v>
      </c>
      <c r="J367" s="83" t="s">
        <v>429</v>
      </c>
      <c r="K367" s="24">
        <v>13500</v>
      </c>
      <c r="L367" s="24"/>
      <c r="M367" s="24"/>
      <c r="N367" s="24"/>
      <c r="O367" s="24"/>
      <c r="P367" s="211"/>
      <c r="Q367" s="83"/>
      <c r="R367" s="83">
        <v>150</v>
      </c>
      <c r="S367" s="83">
        <v>11250</v>
      </c>
      <c r="T367" s="211"/>
      <c r="U367" s="83"/>
      <c r="V367" s="83">
        <v>30</v>
      </c>
      <c r="W367" s="83">
        <v>2250</v>
      </c>
      <c r="X367" s="167"/>
      <c r="Y367" s="168"/>
      <c r="Z367" s="168"/>
      <c r="AA367" s="168"/>
      <c r="AB367" s="168"/>
      <c r="AC367" s="168"/>
      <c r="AD367" s="168"/>
      <c r="AE367" s="168"/>
    </row>
    <row r="368" spans="1:31" s="141" customFormat="1" x14ac:dyDescent="0.25">
      <c r="A368" s="138">
        <v>27.5500000000001</v>
      </c>
      <c r="B368" s="165" t="s">
        <v>412</v>
      </c>
      <c r="C368" s="110">
        <v>2109020</v>
      </c>
      <c r="D368" s="210" t="s">
        <v>289</v>
      </c>
      <c r="E368" s="210"/>
      <c r="F368" s="110">
        <v>796</v>
      </c>
      <c r="G368" s="81" t="s">
        <v>17</v>
      </c>
      <c r="H368" s="129">
        <v>20</v>
      </c>
      <c r="I368" s="151">
        <v>98401</v>
      </c>
      <c r="J368" s="83" t="s">
        <v>429</v>
      </c>
      <c r="K368" s="24">
        <v>2000</v>
      </c>
      <c r="L368" s="24"/>
      <c r="M368" s="24"/>
      <c r="N368" s="24"/>
      <c r="O368" s="24"/>
      <c r="P368" s="211"/>
      <c r="Q368" s="83"/>
      <c r="R368" s="83">
        <v>20</v>
      </c>
      <c r="S368" s="83">
        <v>2000</v>
      </c>
      <c r="T368" s="211"/>
      <c r="U368" s="83"/>
      <c r="V368" s="83">
        <v>0</v>
      </c>
      <c r="W368" s="83">
        <v>0</v>
      </c>
      <c r="X368" s="167"/>
      <c r="Y368" s="168"/>
      <c r="Z368" s="168"/>
      <c r="AA368" s="168"/>
      <c r="AB368" s="168"/>
      <c r="AC368" s="168"/>
      <c r="AD368" s="168"/>
      <c r="AE368" s="168"/>
    </row>
    <row r="369" spans="1:31" s="141" customFormat="1" x14ac:dyDescent="0.25">
      <c r="A369" s="138">
        <v>27.560000000000102</v>
      </c>
      <c r="B369" s="165" t="s">
        <v>412</v>
      </c>
      <c r="C369" s="110">
        <v>2109020</v>
      </c>
      <c r="D369" s="212" t="s">
        <v>290</v>
      </c>
      <c r="E369" s="212"/>
      <c r="F369" s="110">
        <v>796</v>
      </c>
      <c r="G369" s="81" t="s">
        <v>17</v>
      </c>
      <c r="H369" s="129">
        <v>15900</v>
      </c>
      <c r="I369" s="151">
        <v>98401</v>
      </c>
      <c r="J369" s="83" t="s">
        <v>429</v>
      </c>
      <c r="K369" s="24">
        <v>19080</v>
      </c>
      <c r="L369" s="24"/>
      <c r="M369" s="24"/>
      <c r="N369" s="24"/>
      <c r="O369" s="24"/>
      <c r="P369" s="211"/>
      <c r="Q369" s="83"/>
      <c r="R369" s="83">
        <v>6000</v>
      </c>
      <c r="S369" s="83">
        <v>7200</v>
      </c>
      <c r="T369" s="211">
        <v>3000</v>
      </c>
      <c r="U369" s="83">
        <v>3600</v>
      </c>
      <c r="V369" s="83">
        <v>6900</v>
      </c>
      <c r="W369" s="83">
        <v>8280</v>
      </c>
      <c r="X369" s="167"/>
      <c r="Y369" s="168"/>
      <c r="Z369" s="168"/>
      <c r="AA369" s="168"/>
      <c r="AB369" s="168"/>
      <c r="AC369" s="168"/>
      <c r="AD369" s="168"/>
      <c r="AE369" s="168"/>
    </row>
    <row r="370" spans="1:31" s="141" customFormat="1" x14ac:dyDescent="0.25">
      <c r="A370" s="138">
        <v>27.5700000000001</v>
      </c>
      <c r="B370" s="165" t="s">
        <v>412</v>
      </c>
      <c r="C370" s="110">
        <v>2109020</v>
      </c>
      <c r="D370" s="212" t="s">
        <v>291</v>
      </c>
      <c r="E370" s="212"/>
      <c r="F370" s="110">
        <v>796</v>
      </c>
      <c r="G370" s="81" t="s">
        <v>17</v>
      </c>
      <c r="H370" s="129">
        <v>7</v>
      </c>
      <c r="I370" s="151">
        <v>98401</v>
      </c>
      <c r="J370" s="83" t="s">
        <v>429</v>
      </c>
      <c r="K370" s="24">
        <v>805</v>
      </c>
      <c r="L370" s="24"/>
      <c r="M370" s="24"/>
      <c r="N370" s="24"/>
      <c r="O370" s="24"/>
      <c r="P370" s="211"/>
      <c r="Q370" s="83"/>
      <c r="R370" s="83"/>
      <c r="S370" s="83"/>
      <c r="T370" s="211"/>
      <c r="U370" s="83"/>
      <c r="V370" s="83">
        <v>7</v>
      </c>
      <c r="W370" s="83">
        <v>805</v>
      </c>
      <c r="X370" s="167"/>
      <c r="Y370" s="168"/>
      <c r="Z370" s="168"/>
      <c r="AA370" s="168"/>
      <c r="AB370" s="168"/>
      <c r="AC370" s="168"/>
      <c r="AD370" s="168"/>
      <c r="AE370" s="168"/>
    </row>
    <row r="371" spans="1:31" s="141" customFormat="1" x14ac:dyDescent="0.25">
      <c r="A371" s="138">
        <v>27.580000000000101</v>
      </c>
      <c r="B371" s="165" t="s">
        <v>412</v>
      </c>
      <c r="C371" s="110">
        <v>2109020</v>
      </c>
      <c r="D371" s="212" t="s">
        <v>292</v>
      </c>
      <c r="E371" s="212"/>
      <c r="F371" s="110">
        <v>796</v>
      </c>
      <c r="G371" s="81" t="s">
        <v>17</v>
      </c>
      <c r="H371" s="129">
        <v>17</v>
      </c>
      <c r="I371" s="151">
        <v>98401</v>
      </c>
      <c r="J371" s="83" t="s">
        <v>429</v>
      </c>
      <c r="K371" s="24">
        <v>2057</v>
      </c>
      <c r="L371" s="24"/>
      <c r="M371" s="24"/>
      <c r="N371" s="24"/>
      <c r="O371" s="24"/>
      <c r="P371" s="211"/>
      <c r="Q371" s="83"/>
      <c r="R371" s="83"/>
      <c r="S371" s="83"/>
      <c r="T371" s="211"/>
      <c r="U371" s="83"/>
      <c r="V371" s="83">
        <v>17</v>
      </c>
      <c r="W371" s="83">
        <v>2057</v>
      </c>
      <c r="X371" s="167"/>
      <c r="Y371" s="168"/>
      <c r="Z371" s="168"/>
      <c r="AA371" s="168"/>
      <c r="AB371" s="168"/>
      <c r="AC371" s="168"/>
      <c r="AD371" s="168"/>
      <c r="AE371" s="168"/>
    </row>
    <row r="372" spans="1:31" s="141" customFormat="1" x14ac:dyDescent="0.25">
      <c r="A372" s="138">
        <v>27.590000000000099</v>
      </c>
      <c r="B372" s="165" t="s">
        <v>412</v>
      </c>
      <c r="C372" s="110">
        <v>2109020</v>
      </c>
      <c r="D372" s="212" t="s">
        <v>293</v>
      </c>
      <c r="E372" s="212"/>
      <c r="F372" s="110">
        <v>796</v>
      </c>
      <c r="G372" s="81" t="s">
        <v>17</v>
      </c>
      <c r="H372" s="129">
        <v>6</v>
      </c>
      <c r="I372" s="151">
        <v>98401</v>
      </c>
      <c r="J372" s="83" t="s">
        <v>429</v>
      </c>
      <c r="K372" s="24">
        <v>150</v>
      </c>
      <c r="L372" s="24"/>
      <c r="M372" s="24"/>
      <c r="N372" s="24"/>
      <c r="O372" s="24"/>
      <c r="P372" s="211"/>
      <c r="Q372" s="83"/>
      <c r="R372" s="83"/>
      <c r="S372" s="83"/>
      <c r="T372" s="211"/>
      <c r="U372" s="83"/>
      <c r="V372" s="83">
        <v>6</v>
      </c>
      <c r="W372" s="83">
        <v>150</v>
      </c>
      <c r="X372" s="167"/>
      <c r="Y372" s="168"/>
      <c r="Z372" s="168"/>
      <c r="AA372" s="168"/>
      <c r="AB372" s="168"/>
      <c r="AC372" s="168"/>
      <c r="AD372" s="168"/>
      <c r="AE372" s="168"/>
    </row>
    <row r="373" spans="1:31" s="141" customFormat="1" x14ac:dyDescent="0.25">
      <c r="A373" s="138">
        <v>27.600000000000101</v>
      </c>
      <c r="B373" s="165" t="s">
        <v>412</v>
      </c>
      <c r="C373" s="110">
        <v>2109020</v>
      </c>
      <c r="D373" s="172" t="s">
        <v>294</v>
      </c>
      <c r="E373" s="172"/>
      <c r="F373" s="110">
        <v>796</v>
      </c>
      <c r="G373" s="81" t="s">
        <v>17</v>
      </c>
      <c r="H373" s="129">
        <v>18</v>
      </c>
      <c r="I373" s="151">
        <v>98401</v>
      </c>
      <c r="J373" s="83" t="s">
        <v>429</v>
      </c>
      <c r="K373" s="24">
        <v>450</v>
      </c>
      <c r="L373" s="24"/>
      <c r="M373" s="24"/>
      <c r="N373" s="24"/>
      <c r="O373" s="24"/>
      <c r="P373" s="211"/>
      <c r="Q373" s="83"/>
      <c r="R373" s="83"/>
      <c r="S373" s="83"/>
      <c r="T373" s="211"/>
      <c r="U373" s="83"/>
      <c r="V373" s="83">
        <v>18</v>
      </c>
      <c r="W373" s="83">
        <v>450</v>
      </c>
      <c r="X373" s="167"/>
      <c r="Y373" s="168"/>
      <c r="Z373" s="168"/>
      <c r="AA373" s="168"/>
      <c r="AB373" s="168"/>
      <c r="AC373" s="168"/>
      <c r="AD373" s="168"/>
      <c r="AE373" s="168"/>
    </row>
    <row r="374" spans="1:31" s="141" customFormat="1" x14ac:dyDescent="0.25">
      <c r="A374" s="138">
        <v>27.610000000000099</v>
      </c>
      <c r="B374" s="165" t="s">
        <v>412</v>
      </c>
      <c r="C374" s="110">
        <v>2109020</v>
      </c>
      <c r="D374" s="172" t="s">
        <v>295</v>
      </c>
      <c r="E374" s="172"/>
      <c r="F374" s="110">
        <v>796</v>
      </c>
      <c r="G374" s="81" t="s">
        <v>17</v>
      </c>
      <c r="H374" s="129">
        <v>106</v>
      </c>
      <c r="I374" s="151">
        <v>98401</v>
      </c>
      <c r="J374" s="83" t="s">
        <v>429</v>
      </c>
      <c r="K374" s="24">
        <v>5300</v>
      </c>
      <c r="L374" s="24"/>
      <c r="M374" s="24"/>
      <c r="N374" s="24"/>
      <c r="O374" s="24"/>
      <c r="P374" s="211"/>
      <c r="Q374" s="83"/>
      <c r="R374" s="83"/>
      <c r="S374" s="83"/>
      <c r="T374" s="211">
        <v>50</v>
      </c>
      <c r="U374" s="83">
        <v>2500</v>
      </c>
      <c r="V374" s="83">
        <v>56</v>
      </c>
      <c r="W374" s="83">
        <v>2800</v>
      </c>
      <c r="X374" s="167"/>
      <c r="Y374" s="168"/>
      <c r="Z374" s="168"/>
      <c r="AA374" s="168"/>
      <c r="AB374" s="168"/>
      <c r="AC374" s="168"/>
      <c r="AD374" s="168"/>
      <c r="AE374" s="168"/>
    </row>
    <row r="375" spans="1:31" s="141" customFormat="1" x14ac:dyDescent="0.25">
      <c r="A375" s="138">
        <v>27.6200000000001</v>
      </c>
      <c r="B375" s="165" t="s">
        <v>412</v>
      </c>
      <c r="C375" s="110">
        <v>2109020</v>
      </c>
      <c r="D375" s="212" t="s">
        <v>296</v>
      </c>
      <c r="E375" s="212"/>
      <c r="F375" s="110">
        <v>796</v>
      </c>
      <c r="G375" s="81" t="s">
        <v>17</v>
      </c>
      <c r="H375" s="129">
        <v>47</v>
      </c>
      <c r="I375" s="151">
        <v>98401</v>
      </c>
      <c r="J375" s="83" t="s">
        <v>429</v>
      </c>
      <c r="K375" s="24">
        <v>1034</v>
      </c>
      <c r="L375" s="24"/>
      <c r="M375" s="24"/>
      <c r="N375" s="24"/>
      <c r="O375" s="24"/>
      <c r="P375" s="211"/>
      <c r="Q375" s="83"/>
      <c r="R375" s="83"/>
      <c r="S375" s="83"/>
      <c r="T375" s="211"/>
      <c r="U375" s="83"/>
      <c r="V375" s="83">
        <v>47</v>
      </c>
      <c r="W375" s="83">
        <v>1034</v>
      </c>
      <c r="X375" s="167"/>
      <c r="Y375" s="168"/>
      <c r="Z375" s="168"/>
      <c r="AA375" s="168"/>
      <c r="AB375" s="168"/>
      <c r="AC375" s="168"/>
      <c r="AD375" s="168"/>
      <c r="AE375" s="168"/>
    </row>
    <row r="376" spans="1:31" s="141" customFormat="1" x14ac:dyDescent="0.25">
      <c r="A376" s="138">
        <v>27.630000000000098</v>
      </c>
      <c r="B376" s="165" t="s">
        <v>412</v>
      </c>
      <c r="C376" s="110">
        <v>2109020</v>
      </c>
      <c r="D376" s="212" t="s">
        <v>297</v>
      </c>
      <c r="E376" s="212"/>
      <c r="F376" s="110">
        <v>796</v>
      </c>
      <c r="G376" s="81" t="s">
        <v>17</v>
      </c>
      <c r="H376" s="129">
        <v>11</v>
      </c>
      <c r="I376" s="151">
        <v>98401</v>
      </c>
      <c r="J376" s="83" t="s">
        <v>429</v>
      </c>
      <c r="K376" s="24">
        <v>242</v>
      </c>
      <c r="L376" s="24"/>
      <c r="M376" s="24"/>
      <c r="N376" s="24"/>
      <c r="O376" s="24"/>
      <c r="P376" s="211"/>
      <c r="Q376" s="83"/>
      <c r="R376" s="83"/>
      <c r="S376" s="83"/>
      <c r="T376" s="211"/>
      <c r="U376" s="83"/>
      <c r="V376" s="83">
        <v>11</v>
      </c>
      <c r="W376" s="83">
        <v>242</v>
      </c>
      <c r="X376" s="167"/>
      <c r="Y376" s="168"/>
      <c r="Z376" s="168"/>
      <c r="AA376" s="168"/>
      <c r="AB376" s="168"/>
      <c r="AC376" s="168"/>
      <c r="AD376" s="168"/>
      <c r="AE376" s="168"/>
    </row>
    <row r="377" spans="1:31" s="141" customFormat="1" x14ac:dyDescent="0.25">
      <c r="A377" s="138">
        <v>27.6400000000001</v>
      </c>
      <c r="B377" s="165" t="s">
        <v>412</v>
      </c>
      <c r="C377" s="110">
        <v>2109020</v>
      </c>
      <c r="D377" s="212" t="s">
        <v>298</v>
      </c>
      <c r="E377" s="212"/>
      <c r="F377" s="110">
        <v>796</v>
      </c>
      <c r="G377" s="81" t="s">
        <v>17</v>
      </c>
      <c r="H377" s="129">
        <v>50</v>
      </c>
      <c r="I377" s="151">
        <v>98401</v>
      </c>
      <c r="J377" s="83" t="s">
        <v>429</v>
      </c>
      <c r="K377" s="24">
        <v>1200</v>
      </c>
      <c r="L377" s="24"/>
      <c r="M377" s="24"/>
      <c r="N377" s="24"/>
      <c r="O377" s="24"/>
      <c r="P377" s="211"/>
      <c r="Q377" s="83"/>
      <c r="R377" s="83">
        <v>50</v>
      </c>
      <c r="S377" s="83">
        <v>1200</v>
      </c>
      <c r="T377" s="211"/>
      <c r="U377" s="83"/>
      <c r="V377" s="83">
        <v>0</v>
      </c>
      <c r="W377" s="83">
        <v>0</v>
      </c>
      <c r="X377" s="167"/>
      <c r="Y377" s="168"/>
      <c r="Z377" s="168"/>
      <c r="AA377" s="168"/>
      <c r="AB377" s="168"/>
      <c r="AC377" s="168"/>
      <c r="AD377" s="168"/>
      <c r="AE377" s="168"/>
    </row>
    <row r="378" spans="1:31" s="141" customFormat="1" x14ac:dyDescent="0.25">
      <c r="A378" s="138">
        <v>27.650000000000102</v>
      </c>
      <c r="B378" s="165" t="s">
        <v>412</v>
      </c>
      <c r="C378" s="110">
        <v>2109020</v>
      </c>
      <c r="D378" s="212" t="s">
        <v>299</v>
      </c>
      <c r="E378" s="212"/>
      <c r="F378" s="110">
        <v>796</v>
      </c>
      <c r="G378" s="81" t="s">
        <v>17</v>
      </c>
      <c r="H378" s="129">
        <v>928</v>
      </c>
      <c r="I378" s="151">
        <v>98401</v>
      </c>
      <c r="J378" s="83" t="s">
        <v>429</v>
      </c>
      <c r="K378" s="24">
        <v>7424</v>
      </c>
      <c r="L378" s="24"/>
      <c r="M378" s="24"/>
      <c r="N378" s="24"/>
      <c r="O378" s="24"/>
      <c r="P378" s="211"/>
      <c r="Q378" s="83"/>
      <c r="R378" s="83">
        <v>300</v>
      </c>
      <c r="S378" s="83">
        <v>2400</v>
      </c>
      <c r="T378" s="211">
        <v>300</v>
      </c>
      <c r="U378" s="83">
        <v>2400</v>
      </c>
      <c r="V378" s="83">
        <v>328</v>
      </c>
      <c r="W378" s="83">
        <v>2624</v>
      </c>
      <c r="X378" s="167"/>
      <c r="Y378" s="168"/>
      <c r="Z378" s="168"/>
      <c r="AA378" s="168"/>
      <c r="AB378" s="168"/>
      <c r="AC378" s="168"/>
      <c r="AD378" s="168"/>
      <c r="AE378" s="168"/>
    </row>
    <row r="379" spans="1:31" s="141" customFormat="1" x14ac:dyDescent="0.25">
      <c r="A379" s="138">
        <v>27.6600000000001</v>
      </c>
      <c r="B379" s="165" t="s">
        <v>412</v>
      </c>
      <c r="C379" s="110">
        <v>2109020</v>
      </c>
      <c r="D379" s="212" t="s">
        <v>300</v>
      </c>
      <c r="E379" s="212"/>
      <c r="F379" s="110">
        <v>796</v>
      </c>
      <c r="G379" s="81" t="s">
        <v>17</v>
      </c>
      <c r="H379" s="129">
        <v>10</v>
      </c>
      <c r="I379" s="151">
        <v>98401</v>
      </c>
      <c r="J379" s="83" t="s">
        <v>429</v>
      </c>
      <c r="K379" s="24">
        <v>80</v>
      </c>
      <c r="L379" s="24"/>
      <c r="M379" s="24"/>
      <c r="N379" s="24"/>
      <c r="O379" s="24"/>
      <c r="P379" s="211"/>
      <c r="Q379" s="83"/>
      <c r="R379" s="83"/>
      <c r="S379" s="83"/>
      <c r="T379" s="211"/>
      <c r="U379" s="83"/>
      <c r="V379" s="83">
        <v>10</v>
      </c>
      <c r="W379" s="83">
        <v>80</v>
      </c>
      <c r="X379" s="167"/>
      <c r="Y379" s="168"/>
      <c r="Z379" s="168"/>
      <c r="AA379" s="168"/>
      <c r="AB379" s="168"/>
      <c r="AC379" s="168"/>
      <c r="AD379" s="168"/>
      <c r="AE379" s="168"/>
    </row>
    <row r="380" spans="1:31" s="141" customFormat="1" x14ac:dyDescent="0.25">
      <c r="A380" s="138">
        <v>27.670000000000101</v>
      </c>
      <c r="B380" s="165" t="s">
        <v>412</v>
      </c>
      <c r="C380" s="110">
        <v>2109020</v>
      </c>
      <c r="D380" s="212" t="s">
        <v>301</v>
      </c>
      <c r="E380" s="212"/>
      <c r="F380" s="110">
        <v>796</v>
      </c>
      <c r="G380" s="81" t="s">
        <v>17</v>
      </c>
      <c r="H380" s="129">
        <v>50</v>
      </c>
      <c r="I380" s="151">
        <v>98401</v>
      </c>
      <c r="J380" s="83" t="s">
        <v>429</v>
      </c>
      <c r="K380" s="24">
        <v>2400</v>
      </c>
      <c r="L380" s="24"/>
      <c r="M380" s="24"/>
      <c r="N380" s="24"/>
      <c r="O380" s="24"/>
      <c r="P380" s="211"/>
      <c r="Q380" s="83"/>
      <c r="R380" s="83">
        <v>50</v>
      </c>
      <c r="S380" s="83">
        <v>2400</v>
      </c>
      <c r="T380" s="211"/>
      <c r="U380" s="83"/>
      <c r="V380" s="83">
        <v>0</v>
      </c>
      <c r="W380" s="83">
        <v>0</v>
      </c>
      <c r="X380" s="167"/>
      <c r="Y380" s="168"/>
      <c r="Z380" s="168"/>
      <c r="AA380" s="168"/>
      <c r="AB380" s="168"/>
      <c r="AC380" s="168"/>
      <c r="AD380" s="168"/>
      <c r="AE380" s="168"/>
    </row>
    <row r="381" spans="1:31" s="141" customFormat="1" x14ac:dyDescent="0.25">
      <c r="A381" s="138">
        <v>27.680000000000099</v>
      </c>
      <c r="B381" s="165" t="s">
        <v>412</v>
      </c>
      <c r="C381" s="110">
        <v>2109020</v>
      </c>
      <c r="D381" s="212" t="s">
        <v>302</v>
      </c>
      <c r="E381" s="212"/>
      <c r="F381" s="110">
        <v>796</v>
      </c>
      <c r="G381" s="81" t="s">
        <v>17</v>
      </c>
      <c r="H381" s="129">
        <v>14</v>
      </c>
      <c r="I381" s="151">
        <v>98401</v>
      </c>
      <c r="J381" s="83" t="s">
        <v>429</v>
      </c>
      <c r="K381" s="24">
        <v>770</v>
      </c>
      <c r="L381" s="24"/>
      <c r="M381" s="24"/>
      <c r="N381" s="24"/>
      <c r="O381" s="24"/>
      <c r="P381" s="211"/>
      <c r="Q381" s="83"/>
      <c r="R381" s="83"/>
      <c r="S381" s="83"/>
      <c r="T381" s="211"/>
      <c r="U381" s="83"/>
      <c r="V381" s="83">
        <v>14</v>
      </c>
      <c r="W381" s="83">
        <v>770</v>
      </c>
      <c r="X381" s="167"/>
      <c r="Y381" s="168"/>
      <c r="Z381" s="168"/>
      <c r="AA381" s="168"/>
      <c r="AB381" s="168"/>
      <c r="AC381" s="168"/>
      <c r="AD381" s="168"/>
      <c r="AE381" s="168"/>
    </row>
    <row r="382" spans="1:31" s="141" customFormat="1" x14ac:dyDescent="0.25">
      <c r="A382" s="138">
        <v>27.690000000000101</v>
      </c>
      <c r="B382" s="165" t="s">
        <v>412</v>
      </c>
      <c r="C382" s="110">
        <v>2109020</v>
      </c>
      <c r="D382" s="212" t="s">
        <v>303</v>
      </c>
      <c r="E382" s="212"/>
      <c r="F382" s="110">
        <v>796</v>
      </c>
      <c r="G382" s="81" t="s">
        <v>17</v>
      </c>
      <c r="H382" s="129">
        <v>30</v>
      </c>
      <c r="I382" s="151">
        <v>98401</v>
      </c>
      <c r="J382" s="83" t="s">
        <v>429</v>
      </c>
      <c r="K382" s="24">
        <v>1950</v>
      </c>
      <c r="L382" s="24"/>
      <c r="M382" s="24"/>
      <c r="N382" s="24"/>
      <c r="O382" s="24"/>
      <c r="P382" s="211"/>
      <c r="Q382" s="83"/>
      <c r="R382" s="83">
        <v>30</v>
      </c>
      <c r="S382" s="83">
        <v>1950</v>
      </c>
      <c r="T382" s="211"/>
      <c r="U382" s="83"/>
      <c r="V382" s="83">
        <v>0</v>
      </c>
      <c r="W382" s="83">
        <v>0</v>
      </c>
      <c r="X382" s="167"/>
      <c r="Y382" s="168"/>
      <c r="Z382" s="168"/>
      <c r="AA382" s="168"/>
      <c r="AB382" s="168"/>
      <c r="AC382" s="168"/>
      <c r="AD382" s="168"/>
      <c r="AE382" s="168"/>
    </row>
    <row r="383" spans="1:31" s="141" customFormat="1" x14ac:dyDescent="0.25">
      <c r="A383" s="138">
        <v>27.700000000000099</v>
      </c>
      <c r="B383" s="165" t="s">
        <v>412</v>
      </c>
      <c r="C383" s="110">
        <v>2109020</v>
      </c>
      <c r="D383" s="212" t="s">
        <v>304</v>
      </c>
      <c r="E383" s="212"/>
      <c r="F383" s="110">
        <v>796</v>
      </c>
      <c r="G383" s="81" t="s">
        <v>17</v>
      </c>
      <c r="H383" s="129">
        <v>217</v>
      </c>
      <c r="I383" s="151">
        <v>98401</v>
      </c>
      <c r="J383" s="83" t="s">
        <v>429</v>
      </c>
      <c r="K383" s="24">
        <v>3461.15</v>
      </c>
      <c r="L383" s="24"/>
      <c r="M383" s="24"/>
      <c r="N383" s="24"/>
      <c r="O383" s="24"/>
      <c r="P383" s="211"/>
      <c r="Q383" s="83"/>
      <c r="R383" s="83">
        <v>200</v>
      </c>
      <c r="S383" s="83">
        <v>3190</v>
      </c>
      <c r="T383" s="211"/>
      <c r="U383" s="83"/>
      <c r="V383" s="83">
        <v>17</v>
      </c>
      <c r="W383" s="83">
        <v>271.14999999999998</v>
      </c>
      <c r="X383" s="167"/>
      <c r="Y383" s="168"/>
      <c r="Z383" s="168"/>
      <c r="AA383" s="168"/>
      <c r="AB383" s="168"/>
      <c r="AC383" s="168"/>
      <c r="AD383" s="168"/>
      <c r="AE383" s="168"/>
    </row>
    <row r="384" spans="1:31" s="141" customFormat="1" x14ac:dyDescent="0.25">
      <c r="A384" s="138">
        <v>27.7100000000001</v>
      </c>
      <c r="B384" s="165" t="s">
        <v>412</v>
      </c>
      <c r="C384" s="110">
        <v>2109020</v>
      </c>
      <c r="D384" s="212" t="s">
        <v>305</v>
      </c>
      <c r="E384" s="212"/>
      <c r="F384" s="110">
        <v>796</v>
      </c>
      <c r="G384" s="81" t="s">
        <v>17</v>
      </c>
      <c r="H384" s="129">
        <v>200</v>
      </c>
      <c r="I384" s="151">
        <v>98401</v>
      </c>
      <c r="J384" s="83" t="s">
        <v>429</v>
      </c>
      <c r="K384" s="24">
        <v>1400</v>
      </c>
      <c r="L384" s="24"/>
      <c r="M384" s="24"/>
      <c r="N384" s="24"/>
      <c r="O384" s="24"/>
      <c r="P384" s="211"/>
      <c r="Q384" s="83"/>
      <c r="R384" s="83">
        <v>200</v>
      </c>
      <c r="S384" s="83">
        <v>1400</v>
      </c>
      <c r="T384" s="211"/>
      <c r="U384" s="83"/>
      <c r="V384" s="83">
        <v>0</v>
      </c>
      <c r="W384" s="83">
        <v>0</v>
      </c>
      <c r="X384" s="167"/>
      <c r="Y384" s="168"/>
      <c r="Z384" s="168"/>
      <c r="AA384" s="168"/>
      <c r="AB384" s="168"/>
      <c r="AC384" s="168"/>
      <c r="AD384" s="168"/>
      <c r="AE384" s="168"/>
    </row>
    <row r="385" spans="1:31" s="141" customFormat="1" x14ac:dyDescent="0.25">
      <c r="A385" s="138">
        <v>27.720000000000098</v>
      </c>
      <c r="B385" s="165" t="s">
        <v>412</v>
      </c>
      <c r="C385" s="110">
        <v>2109020</v>
      </c>
      <c r="D385" s="212" t="s">
        <v>306</v>
      </c>
      <c r="E385" s="212"/>
      <c r="F385" s="110">
        <v>796</v>
      </c>
      <c r="G385" s="81" t="s">
        <v>17</v>
      </c>
      <c r="H385" s="129">
        <v>128</v>
      </c>
      <c r="I385" s="151">
        <v>98401</v>
      </c>
      <c r="J385" s="83" t="s">
        <v>429</v>
      </c>
      <c r="K385" s="24">
        <v>4352</v>
      </c>
      <c r="L385" s="24"/>
      <c r="M385" s="24"/>
      <c r="N385" s="24"/>
      <c r="O385" s="24"/>
      <c r="P385" s="211"/>
      <c r="Q385" s="83"/>
      <c r="R385" s="83"/>
      <c r="S385" s="83"/>
      <c r="T385" s="211">
        <v>60</v>
      </c>
      <c r="U385" s="83">
        <v>2040</v>
      </c>
      <c r="V385" s="83">
        <v>68</v>
      </c>
      <c r="W385" s="83">
        <v>2312</v>
      </c>
      <c r="X385" s="167"/>
      <c r="Y385" s="168"/>
      <c r="Z385" s="168"/>
      <c r="AA385" s="168"/>
      <c r="AB385" s="168"/>
      <c r="AC385" s="168"/>
      <c r="AD385" s="168"/>
      <c r="AE385" s="168"/>
    </row>
    <row r="386" spans="1:31" s="141" customFormat="1" x14ac:dyDescent="0.25">
      <c r="A386" s="138">
        <v>27.7300000000001</v>
      </c>
      <c r="B386" s="165" t="s">
        <v>412</v>
      </c>
      <c r="C386" s="110">
        <v>2109020</v>
      </c>
      <c r="D386" s="212" t="s">
        <v>307</v>
      </c>
      <c r="E386" s="212"/>
      <c r="F386" s="110">
        <v>796</v>
      </c>
      <c r="G386" s="81" t="s">
        <v>17</v>
      </c>
      <c r="H386" s="129">
        <v>184</v>
      </c>
      <c r="I386" s="151">
        <v>98401</v>
      </c>
      <c r="J386" s="83" t="s">
        <v>429</v>
      </c>
      <c r="K386" s="24">
        <v>9936</v>
      </c>
      <c r="L386" s="24"/>
      <c r="M386" s="24"/>
      <c r="N386" s="24"/>
      <c r="O386" s="24"/>
      <c r="P386" s="211"/>
      <c r="Q386" s="83"/>
      <c r="R386" s="83">
        <v>60</v>
      </c>
      <c r="S386" s="83">
        <v>3240</v>
      </c>
      <c r="T386" s="211">
        <v>60</v>
      </c>
      <c r="U386" s="83">
        <v>3240</v>
      </c>
      <c r="V386" s="83">
        <v>64</v>
      </c>
      <c r="W386" s="83">
        <v>3456</v>
      </c>
      <c r="X386" s="167"/>
      <c r="Y386" s="168"/>
      <c r="Z386" s="168"/>
      <c r="AA386" s="168"/>
      <c r="AB386" s="168"/>
      <c r="AC386" s="168"/>
      <c r="AD386" s="168"/>
      <c r="AE386" s="168"/>
    </row>
    <row r="387" spans="1:31" s="141" customFormat="1" x14ac:dyDescent="0.25">
      <c r="A387" s="138">
        <v>27.740000000000101</v>
      </c>
      <c r="B387" s="165" t="s">
        <v>412</v>
      </c>
      <c r="C387" s="110">
        <v>2109020</v>
      </c>
      <c r="D387" s="212" t="s">
        <v>308</v>
      </c>
      <c r="E387" s="212"/>
      <c r="F387" s="110">
        <v>796</v>
      </c>
      <c r="G387" s="81" t="s">
        <v>17</v>
      </c>
      <c r="H387" s="129">
        <v>200</v>
      </c>
      <c r="I387" s="151">
        <v>98401</v>
      </c>
      <c r="J387" s="83" t="s">
        <v>429</v>
      </c>
      <c r="K387" s="24">
        <v>5000</v>
      </c>
      <c r="L387" s="24"/>
      <c r="M387" s="24"/>
      <c r="N387" s="24"/>
      <c r="O387" s="24"/>
      <c r="P387" s="211"/>
      <c r="Q387" s="83"/>
      <c r="R387" s="83"/>
      <c r="S387" s="83"/>
      <c r="T387" s="211">
        <v>100</v>
      </c>
      <c r="U387" s="83">
        <v>2500</v>
      </c>
      <c r="V387" s="83">
        <v>100</v>
      </c>
      <c r="W387" s="83">
        <v>2500</v>
      </c>
      <c r="X387" s="167"/>
      <c r="Y387" s="168"/>
      <c r="Z387" s="168"/>
      <c r="AA387" s="168"/>
      <c r="AB387" s="168"/>
      <c r="AC387" s="168"/>
      <c r="AD387" s="168"/>
      <c r="AE387" s="168"/>
    </row>
    <row r="388" spans="1:31" s="141" customFormat="1" x14ac:dyDescent="0.25">
      <c r="A388" s="138">
        <v>27.750000000000099</v>
      </c>
      <c r="B388" s="165" t="s">
        <v>412</v>
      </c>
      <c r="C388" s="110">
        <v>2109020</v>
      </c>
      <c r="D388" s="212" t="s">
        <v>309</v>
      </c>
      <c r="E388" s="212"/>
      <c r="F388" s="110">
        <v>796</v>
      </c>
      <c r="G388" s="81" t="s">
        <v>17</v>
      </c>
      <c r="H388" s="129">
        <v>153</v>
      </c>
      <c r="I388" s="151">
        <v>98401</v>
      </c>
      <c r="J388" s="83" t="s">
        <v>429</v>
      </c>
      <c r="K388" s="24">
        <v>7038</v>
      </c>
      <c r="L388" s="24"/>
      <c r="M388" s="24"/>
      <c r="N388" s="24"/>
      <c r="O388" s="24"/>
      <c r="P388" s="211"/>
      <c r="Q388" s="83"/>
      <c r="R388" s="83"/>
      <c r="S388" s="83"/>
      <c r="T388" s="211">
        <v>50</v>
      </c>
      <c r="U388" s="83">
        <v>2300</v>
      </c>
      <c r="V388" s="83">
        <v>103</v>
      </c>
      <c r="W388" s="83">
        <v>4738</v>
      </c>
      <c r="X388" s="167"/>
      <c r="Y388" s="168"/>
      <c r="Z388" s="168"/>
      <c r="AA388" s="168"/>
      <c r="AB388" s="168"/>
      <c r="AC388" s="168"/>
      <c r="AD388" s="168"/>
      <c r="AE388" s="168"/>
    </row>
    <row r="389" spans="1:31" s="141" customFormat="1" x14ac:dyDescent="0.25">
      <c r="A389" s="138">
        <v>27.760000000000101</v>
      </c>
      <c r="B389" s="165" t="s">
        <v>412</v>
      </c>
      <c r="C389" s="110">
        <v>2109020</v>
      </c>
      <c r="D389" s="80" t="s">
        <v>310</v>
      </c>
      <c r="E389" s="80"/>
      <c r="F389" s="110">
        <v>796</v>
      </c>
      <c r="G389" s="81" t="s">
        <v>17</v>
      </c>
      <c r="H389" s="129">
        <v>5</v>
      </c>
      <c r="I389" s="151">
        <v>98401</v>
      </c>
      <c r="J389" s="83" t="s">
        <v>429</v>
      </c>
      <c r="K389" s="24">
        <v>250</v>
      </c>
      <c r="L389" s="24"/>
      <c r="M389" s="24"/>
      <c r="N389" s="24"/>
      <c r="O389" s="24"/>
      <c r="P389" s="211"/>
      <c r="Q389" s="83"/>
      <c r="R389" s="83"/>
      <c r="S389" s="83"/>
      <c r="T389" s="211"/>
      <c r="U389" s="83"/>
      <c r="V389" s="83">
        <v>5</v>
      </c>
      <c r="W389" s="83">
        <v>250</v>
      </c>
      <c r="X389" s="167"/>
      <c r="Y389" s="168"/>
      <c r="Z389" s="168"/>
      <c r="AA389" s="168"/>
      <c r="AB389" s="168"/>
      <c r="AC389" s="168"/>
      <c r="AD389" s="168"/>
      <c r="AE389" s="168"/>
    </row>
    <row r="390" spans="1:31" s="141" customFormat="1" x14ac:dyDescent="0.25">
      <c r="A390" s="138">
        <v>27.770000000000099</v>
      </c>
      <c r="B390" s="165" t="s">
        <v>412</v>
      </c>
      <c r="C390" s="110">
        <v>2109020</v>
      </c>
      <c r="D390" s="212" t="s">
        <v>311</v>
      </c>
      <c r="E390" s="212"/>
      <c r="F390" s="110">
        <v>796</v>
      </c>
      <c r="G390" s="81" t="s">
        <v>17</v>
      </c>
      <c r="H390" s="129">
        <v>1</v>
      </c>
      <c r="I390" s="151">
        <v>98401</v>
      </c>
      <c r="J390" s="83" t="s">
        <v>429</v>
      </c>
      <c r="K390" s="24">
        <v>1016</v>
      </c>
      <c r="L390" s="24"/>
      <c r="M390" s="24"/>
      <c r="N390" s="24"/>
      <c r="O390" s="24"/>
      <c r="P390" s="211"/>
      <c r="Q390" s="83"/>
      <c r="R390" s="83">
        <v>1</v>
      </c>
      <c r="S390" s="83">
        <v>1016</v>
      </c>
      <c r="T390" s="211"/>
      <c r="U390" s="83"/>
      <c r="V390" s="83">
        <v>0</v>
      </c>
      <c r="W390" s="83">
        <v>0</v>
      </c>
      <c r="X390" s="167"/>
      <c r="Y390" s="168"/>
      <c r="Z390" s="168"/>
      <c r="AA390" s="168"/>
      <c r="AB390" s="168"/>
      <c r="AC390" s="168"/>
      <c r="AD390" s="168"/>
      <c r="AE390" s="168"/>
    </row>
    <row r="391" spans="1:31" s="141" customFormat="1" x14ac:dyDescent="0.25">
      <c r="A391" s="138">
        <v>27.780000000000101</v>
      </c>
      <c r="B391" s="165" t="s">
        <v>412</v>
      </c>
      <c r="C391" s="110">
        <v>2109020</v>
      </c>
      <c r="D391" s="212" t="s">
        <v>312</v>
      </c>
      <c r="E391" s="212"/>
      <c r="F391" s="110">
        <v>796</v>
      </c>
      <c r="G391" s="81" t="s">
        <v>17</v>
      </c>
      <c r="H391" s="129">
        <v>31</v>
      </c>
      <c r="I391" s="151">
        <v>98401</v>
      </c>
      <c r="J391" s="83" t="s">
        <v>429</v>
      </c>
      <c r="K391" s="24">
        <v>3738.6</v>
      </c>
      <c r="L391" s="24"/>
      <c r="M391" s="24"/>
      <c r="N391" s="24"/>
      <c r="O391" s="24"/>
      <c r="P391" s="211"/>
      <c r="Q391" s="83"/>
      <c r="R391" s="83"/>
      <c r="S391" s="83"/>
      <c r="T391" s="211"/>
      <c r="U391" s="83"/>
      <c r="V391" s="83">
        <v>31</v>
      </c>
      <c r="W391" s="83">
        <v>3738.6</v>
      </c>
      <c r="X391" s="167"/>
      <c r="Y391" s="168"/>
      <c r="Z391" s="168"/>
      <c r="AA391" s="168"/>
      <c r="AB391" s="168"/>
      <c r="AC391" s="168"/>
      <c r="AD391" s="168"/>
      <c r="AE391" s="168"/>
    </row>
    <row r="392" spans="1:31" s="141" customFormat="1" x14ac:dyDescent="0.25">
      <c r="A392" s="138">
        <v>27.790000000000099</v>
      </c>
      <c r="B392" s="165" t="s">
        <v>412</v>
      </c>
      <c r="C392" s="110">
        <v>2109020</v>
      </c>
      <c r="D392" s="212" t="s">
        <v>313</v>
      </c>
      <c r="E392" s="212"/>
      <c r="F392" s="110">
        <v>796</v>
      </c>
      <c r="G392" s="81" t="s">
        <v>17</v>
      </c>
      <c r="H392" s="129">
        <v>19</v>
      </c>
      <c r="I392" s="151">
        <v>98401</v>
      </c>
      <c r="J392" s="83" t="s">
        <v>429</v>
      </c>
      <c r="K392" s="24">
        <v>836</v>
      </c>
      <c r="L392" s="24"/>
      <c r="M392" s="24"/>
      <c r="N392" s="24"/>
      <c r="O392" s="24"/>
      <c r="P392" s="211"/>
      <c r="Q392" s="83"/>
      <c r="R392" s="83"/>
      <c r="S392" s="83"/>
      <c r="T392" s="211"/>
      <c r="U392" s="83"/>
      <c r="V392" s="83">
        <v>19</v>
      </c>
      <c r="W392" s="83">
        <v>836</v>
      </c>
      <c r="X392" s="167"/>
      <c r="Y392" s="168"/>
      <c r="Z392" s="168"/>
      <c r="AA392" s="168"/>
      <c r="AB392" s="168"/>
      <c r="AC392" s="168"/>
      <c r="AD392" s="168"/>
      <c r="AE392" s="168"/>
    </row>
    <row r="393" spans="1:31" s="141" customFormat="1" x14ac:dyDescent="0.25">
      <c r="A393" s="138">
        <v>27.8000000000001</v>
      </c>
      <c r="B393" s="165" t="s">
        <v>412</v>
      </c>
      <c r="C393" s="110">
        <v>2109020</v>
      </c>
      <c r="D393" s="212" t="s">
        <v>314</v>
      </c>
      <c r="E393" s="212"/>
      <c r="F393" s="110">
        <v>796</v>
      </c>
      <c r="G393" s="81" t="s">
        <v>17</v>
      </c>
      <c r="H393" s="129">
        <v>30</v>
      </c>
      <c r="I393" s="151">
        <v>98401</v>
      </c>
      <c r="J393" s="83" t="s">
        <v>429</v>
      </c>
      <c r="K393" s="24">
        <v>300</v>
      </c>
      <c r="L393" s="24"/>
      <c r="M393" s="24"/>
      <c r="N393" s="24"/>
      <c r="O393" s="24"/>
      <c r="P393" s="211"/>
      <c r="Q393" s="83"/>
      <c r="R393" s="83"/>
      <c r="S393" s="83"/>
      <c r="T393" s="211"/>
      <c r="U393" s="83"/>
      <c r="V393" s="83">
        <v>30</v>
      </c>
      <c r="W393" s="83">
        <v>300</v>
      </c>
      <c r="X393" s="167"/>
      <c r="Y393" s="168"/>
      <c r="Z393" s="168"/>
      <c r="AA393" s="168"/>
      <c r="AB393" s="168"/>
      <c r="AC393" s="168"/>
      <c r="AD393" s="168"/>
      <c r="AE393" s="168"/>
    </row>
    <row r="394" spans="1:31" s="141" customFormat="1" x14ac:dyDescent="0.25">
      <c r="A394" s="138">
        <v>27.810000000000102</v>
      </c>
      <c r="B394" s="165" t="s">
        <v>412</v>
      </c>
      <c r="C394" s="110">
        <v>2109020</v>
      </c>
      <c r="D394" s="80" t="s">
        <v>315</v>
      </c>
      <c r="E394" s="80"/>
      <c r="F394" s="110">
        <v>796</v>
      </c>
      <c r="G394" s="81" t="s">
        <v>17</v>
      </c>
      <c r="H394" s="129">
        <v>27</v>
      </c>
      <c r="I394" s="151">
        <v>98401</v>
      </c>
      <c r="J394" s="83" t="s">
        <v>429</v>
      </c>
      <c r="K394" s="24">
        <v>3240</v>
      </c>
      <c r="L394" s="24"/>
      <c r="M394" s="24"/>
      <c r="N394" s="24"/>
      <c r="O394" s="24"/>
      <c r="P394" s="211"/>
      <c r="Q394" s="83"/>
      <c r="R394" s="83"/>
      <c r="S394" s="83"/>
      <c r="T394" s="211"/>
      <c r="U394" s="83"/>
      <c r="V394" s="83">
        <v>27</v>
      </c>
      <c r="W394" s="83">
        <v>3240</v>
      </c>
      <c r="X394" s="167"/>
      <c r="Y394" s="168"/>
      <c r="Z394" s="168"/>
      <c r="AA394" s="168"/>
      <c r="AB394" s="168"/>
      <c r="AC394" s="168"/>
      <c r="AD394" s="168"/>
      <c r="AE394" s="168"/>
    </row>
    <row r="395" spans="1:31" s="141" customFormat="1" x14ac:dyDescent="0.25">
      <c r="A395" s="138">
        <v>27.8200000000001</v>
      </c>
      <c r="B395" s="165" t="s">
        <v>412</v>
      </c>
      <c r="C395" s="110">
        <v>2109020</v>
      </c>
      <c r="D395" s="212" t="s">
        <v>316</v>
      </c>
      <c r="E395" s="212"/>
      <c r="F395" s="110">
        <v>796</v>
      </c>
      <c r="G395" s="81" t="s">
        <v>17</v>
      </c>
      <c r="H395" s="129">
        <v>110</v>
      </c>
      <c r="I395" s="151">
        <v>98401</v>
      </c>
      <c r="J395" s="83" t="s">
        <v>429</v>
      </c>
      <c r="K395" s="24">
        <v>3410</v>
      </c>
      <c r="L395" s="24"/>
      <c r="M395" s="24"/>
      <c r="N395" s="24"/>
      <c r="O395" s="24"/>
      <c r="P395" s="211"/>
      <c r="Q395" s="83"/>
      <c r="R395" s="83"/>
      <c r="S395" s="83"/>
      <c r="T395" s="211">
        <v>50</v>
      </c>
      <c r="U395" s="83">
        <v>1550</v>
      </c>
      <c r="V395" s="83">
        <v>60</v>
      </c>
      <c r="W395" s="83">
        <v>1860</v>
      </c>
      <c r="X395" s="167"/>
      <c r="Y395" s="168"/>
      <c r="Z395" s="168"/>
      <c r="AA395" s="168"/>
      <c r="AB395" s="168"/>
      <c r="AC395" s="168"/>
      <c r="AD395" s="168"/>
      <c r="AE395" s="168"/>
    </row>
    <row r="396" spans="1:31" s="141" customFormat="1" x14ac:dyDescent="0.25">
      <c r="A396" s="138">
        <v>27.830000000000101</v>
      </c>
      <c r="B396" s="165" t="s">
        <v>412</v>
      </c>
      <c r="C396" s="110">
        <v>2109020</v>
      </c>
      <c r="D396" s="212" t="s">
        <v>317</v>
      </c>
      <c r="E396" s="212"/>
      <c r="F396" s="110">
        <v>796</v>
      </c>
      <c r="G396" s="81" t="s">
        <v>17</v>
      </c>
      <c r="H396" s="129">
        <v>197</v>
      </c>
      <c r="I396" s="151">
        <v>98401</v>
      </c>
      <c r="J396" s="83" t="s">
        <v>429</v>
      </c>
      <c r="K396" s="24">
        <v>5516</v>
      </c>
      <c r="L396" s="24"/>
      <c r="M396" s="24"/>
      <c r="N396" s="24"/>
      <c r="O396" s="24"/>
      <c r="P396" s="211"/>
      <c r="Q396" s="83"/>
      <c r="R396" s="83"/>
      <c r="S396" s="83"/>
      <c r="T396" s="211">
        <v>100</v>
      </c>
      <c r="U396" s="83">
        <v>2800</v>
      </c>
      <c r="V396" s="83">
        <v>97</v>
      </c>
      <c r="W396" s="83">
        <v>2716</v>
      </c>
      <c r="X396" s="167"/>
      <c r="Y396" s="168"/>
      <c r="Z396" s="168"/>
      <c r="AA396" s="168"/>
      <c r="AB396" s="168"/>
      <c r="AC396" s="168"/>
      <c r="AD396" s="168"/>
      <c r="AE396" s="168"/>
    </row>
    <row r="397" spans="1:31" s="141" customFormat="1" x14ac:dyDescent="0.25">
      <c r="A397" s="138">
        <v>27.840000000000099</v>
      </c>
      <c r="B397" s="165" t="s">
        <v>412</v>
      </c>
      <c r="C397" s="110">
        <v>2109020</v>
      </c>
      <c r="D397" s="212" t="s">
        <v>318</v>
      </c>
      <c r="E397" s="212"/>
      <c r="F397" s="110">
        <v>796</v>
      </c>
      <c r="G397" s="81" t="s">
        <v>17</v>
      </c>
      <c r="H397" s="129">
        <v>406</v>
      </c>
      <c r="I397" s="151">
        <v>98401</v>
      </c>
      <c r="J397" s="83" t="s">
        <v>429</v>
      </c>
      <c r="K397" s="24">
        <v>9459.7999999999993</v>
      </c>
      <c r="L397" s="24"/>
      <c r="M397" s="24"/>
      <c r="N397" s="24"/>
      <c r="O397" s="24"/>
      <c r="P397" s="211"/>
      <c r="Q397" s="83"/>
      <c r="R397" s="83"/>
      <c r="S397" s="83"/>
      <c r="T397" s="211">
        <v>200</v>
      </c>
      <c r="U397" s="83">
        <v>4600</v>
      </c>
      <c r="V397" s="83">
        <v>206</v>
      </c>
      <c r="W397" s="83">
        <v>4859.8</v>
      </c>
      <c r="X397" s="167"/>
      <c r="Y397" s="168"/>
      <c r="Z397" s="168"/>
      <c r="AA397" s="168"/>
      <c r="AB397" s="168"/>
      <c r="AC397" s="168"/>
      <c r="AD397" s="168"/>
      <c r="AE397" s="168"/>
    </row>
    <row r="398" spans="1:31" s="141" customFormat="1" x14ac:dyDescent="0.25">
      <c r="A398" s="138">
        <v>27.850000000000101</v>
      </c>
      <c r="B398" s="165" t="s">
        <v>412</v>
      </c>
      <c r="C398" s="110">
        <v>2109020</v>
      </c>
      <c r="D398" s="212" t="s">
        <v>319</v>
      </c>
      <c r="E398" s="212"/>
      <c r="F398" s="110">
        <v>796</v>
      </c>
      <c r="G398" s="81" t="s">
        <v>17</v>
      </c>
      <c r="H398" s="129">
        <v>3</v>
      </c>
      <c r="I398" s="151">
        <v>98401</v>
      </c>
      <c r="J398" s="83" t="s">
        <v>429</v>
      </c>
      <c r="K398" s="24">
        <v>51</v>
      </c>
      <c r="L398" s="24"/>
      <c r="M398" s="24"/>
      <c r="N398" s="24"/>
      <c r="O398" s="24"/>
      <c r="P398" s="211"/>
      <c r="Q398" s="83"/>
      <c r="R398" s="83"/>
      <c r="S398" s="83"/>
      <c r="T398" s="211"/>
      <c r="U398" s="83"/>
      <c r="V398" s="83">
        <v>3</v>
      </c>
      <c r="W398" s="83">
        <v>51</v>
      </c>
      <c r="X398" s="167"/>
      <c r="Y398" s="168"/>
      <c r="Z398" s="168"/>
      <c r="AA398" s="168"/>
      <c r="AB398" s="168"/>
      <c r="AC398" s="168"/>
      <c r="AD398" s="168"/>
      <c r="AE398" s="168"/>
    </row>
    <row r="399" spans="1:31" s="141" customFormat="1" x14ac:dyDescent="0.25">
      <c r="A399" s="138">
        <v>27.860000000000099</v>
      </c>
      <c r="B399" s="165" t="s">
        <v>412</v>
      </c>
      <c r="C399" s="110">
        <v>2109020</v>
      </c>
      <c r="D399" s="210" t="s">
        <v>320</v>
      </c>
      <c r="E399" s="210"/>
      <c r="F399" s="110">
        <v>796</v>
      </c>
      <c r="G399" s="81" t="s">
        <v>17</v>
      </c>
      <c r="H399" s="129">
        <v>26</v>
      </c>
      <c r="I399" s="151">
        <v>98401</v>
      </c>
      <c r="J399" s="83" t="s">
        <v>429</v>
      </c>
      <c r="K399" s="24">
        <v>780</v>
      </c>
      <c r="L399" s="24"/>
      <c r="M399" s="24"/>
      <c r="N399" s="24"/>
      <c r="O399" s="24"/>
      <c r="P399" s="211"/>
      <c r="Q399" s="83"/>
      <c r="R399" s="83">
        <v>20</v>
      </c>
      <c r="S399" s="83">
        <v>600</v>
      </c>
      <c r="T399" s="211"/>
      <c r="U399" s="83"/>
      <c r="V399" s="83">
        <v>6</v>
      </c>
      <c r="W399" s="83">
        <v>180</v>
      </c>
      <c r="X399" s="167"/>
      <c r="Y399" s="168"/>
      <c r="Z399" s="168"/>
      <c r="AA399" s="168"/>
      <c r="AB399" s="168"/>
      <c r="AC399" s="168"/>
      <c r="AD399" s="168"/>
      <c r="AE399" s="168"/>
    </row>
    <row r="400" spans="1:31" s="141" customFormat="1" x14ac:dyDescent="0.25">
      <c r="A400" s="138">
        <v>27.87</v>
      </c>
      <c r="B400" s="165" t="s">
        <v>412</v>
      </c>
      <c r="C400" s="110">
        <v>2109020</v>
      </c>
      <c r="D400" s="212" t="s">
        <v>321</v>
      </c>
      <c r="E400" s="212"/>
      <c r="F400" s="110">
        <v>796</v>
      </c>
      <c r="G400" s="81" t="s">
        <v>17</v>
      </c>
      <c r="H400" s="129">
        <v>7</v>
      </c>
      <c r="I400" s="151">
        <v>98401</v>
      </c>
      <c r="J400" s="83" t="s">
        <v>429</v>
      </c>
      <c r="K400" s="24">
        <v>140</v>
      </c>
      <c r="L400" s="24"/>
      <c r="M400" s="24"/>
      <c r="N400" s="24"/>
      <c r="O400" s="24"/>
      <c r="P400" s="211"/>
      <c r="Q400" s="83"/>
      <c r="R400" s="83"/>
      <c r="S400" s="83"/>
      <c r="T400" s="211"/>
      <c r="U400" s="83"/>
      <c r="V400" s="83">
        <v>7</v>
      </c>
      <c r="W400" s="83">
        <v>140</v>
      </c>
      <c r="X400" s="167"/>
      <c r="Y400" s="168"/>
      <c r="Z400" s="168"/>
      <c r="AA400" s="168"/>
      <c r="AB400" s="168"/>
      <c r="AC400" s="168"/>
      <c r="AD400" s="168"/>
      <c r="AE400" s="168"/>
    </row>
    <row r="401" spans="1:256" s="141" customFormat="1" x14ac:dyDescent="0.25">
      <c r="A401" s="138">
        <v>27.88</v>
      </c>
      <c r="B401" s="165" t="s">
        <v>412</v>
      </c>
      <c r="C401" s="110">
        <v>2109020</v>
      </c>
      <c r="D401" s="212" t="s">
        <v>322</v>
      </c>
      <c r="E401" s="212"/>
      <c r="F401" s="110">
        <v>796</v>
      </c>
      <c r="G401" s="81" t="s">
        <v>17</v>
      </c>
      <c r="H401" s="129">
        <v>13</v>
      </c>
      <c r="I401" s="151">
        <v>98401</v>
      </c>
      <c r="J401" s="83" t="s">
        <v>429</v>
      </c>
      <c r="K401" s="74">
        <v>1073.8</v>
      </c>
      <c r="L401" s="74"/>
      <c r="M401" s="74"/>
      <c r="N401" s="74"/>
      <c r="O401" s="74"/>
      <c r="P401" s="211"/>
      <c r="Q401" s="83"/>
      <c r="R401" s="83"/>
      <c r="S401" s="83"/>
      <c r="T401" s="211"/>
      <c r="U401" s="83"/>
      <c r="V401" s="83">
        <v>13</v>
      </c>
      <c r="W401" s="83">
        <v>1073.8</v>
      </c>
      <c r="X401" s="167"/>
      <c r="Y401" s="168"/>
      <c r="Z401" s="168"/>
      <c r="AA401" s="168"/>
      <c r="AB401" s="168"/>
      <c r="AC401" s="168"/>
      <c r="AD401" s="168"/>
      <c r="AE401" s="168"/>
    </row>
    <row r="402" spans="1:256" s="141" customFormat="1" x14ac:dyDescent="0.25">
      <c r="A402" s="138">
        <v>27.89</v>
      </c>
      <c r="B402" s="165" t="s">
        <v>412</v>
      </c>
      <c r="C402" s="110">
        <v>2109020</v>
      </c>
      <c r="D402" s="212" t="s">
        <v>339</v>
      </c>
      <c r="E402" s="212"/>
      <c r="F402" s="213"/>
      <c r="G402" s="81"/>
      <c r="H402" s="131"/>
      <c r="I402" s="151">
        <v>98401</v>
      </c>
      <c r="J402" s="83" t="s">
        <v>429</v>
      </c>
      <c r="K402" s="74"/>
      <c r="L402" s="136"/>
      <c r="M402" s="136"/>
      <c r="N402" s="136"/>
      <c r="O402" s="136"/>
      <c r="P402" s="214"/>
      <c r="Q402" s="83"/>
      <c r="R402" s="83"/>
      <c r="S402" s="83"/>
      <c r="T402" s="211"/>
      <c r="U402" s="83">
        <v>46513</v>
      </c>
      <c r="V402" s="83"/>
      <c r="W402" s="83"/>
      <c r="X402" s="167"/>
      <c r="Y402" s="168"/>
      <c r="Z402" s="168"/>
      <c r="AA402" s="168"/>
      <c r="AB402" s="168"/>
      <c r="AC402" s="168"/>
      <c r="AD402" s="168"/>
      <c r="AE402" s="168"/>
    </row>
    <row r="403" spans="1:256" s="164" customFormat="1" ht="14.25" x14ac:dyDescent="0.2">
      <c r="A403" s="140"/>
      <c r="B403" s="156"/>
      <c r="C403" s="157"/>
      <c r="D403" s="158" t="s">
        <v>323</v>
      </c>
      <c r="E403" s="158"/>
      <c r="F403" s="159"/>
      <c r="G403" s="160"/>
      <c r="H403" s="160"/>
      <c r="I403" s="161"/>
      <c r="J403" s="162"/>
      <c r="K403" s="162"/>
      <c r="L403" s="162"/>
      <c r="M403" s="162"/>
      <c r="N403" s="162"/>
      <c r="O403" s="162"/>
      <c r="P403" s="162"/>
      <c r="Q403" s="162"/>
      <c r="R403" s="162"/>
      <c r="S403" s="162"/>
      <c r="T403" s="162"/>
      <c r="U403" s="162"/>
      <c r="V403" s="162"/>
      <c r="W403" s="162"/>
      <c r="X403" s="163"/>
      <c r="Y403" s="140"/>
      <c r="Z403" s="156"/>
      <c r="AA403" s="157"/>
      <c r="AB403" s="158"/>
      <c r="AC403" s="158"/>
      <c r="AD403" s="159"/>
      <c r="AE403" s="160"/>
      <c r="AF403" s="160"/>
      <c r="AG403" s="162"/>
      <c r="AH403" s="162"/>
      <c r="AI403" s="162"/>
      <c r="AJ403" s="162"/>
      <c r="AK403" s="162"/>
      <c r="AL403" s="162"/>
      <c r="AM403" s="162"/>
      <c r="AN403" s="162"/>
      <c r="AO403" s="162"/>
      <c r="AP403" s="162"/>
      <c r="AQ403" s="162"/>
      <c r="AR403" s="162"/>
      <c r="AS403" s="162"/>
      <c r="AT403" s="162"/>
      <c r="AU403" s="162"/>
      <c r="AV403" s="163"/>
      <c r="AW403" s="140"/>
      <c r="AX403" s="156"/>
      <c r="AY403" s="157"/>
      <c r="AZ403" s="158"/>
      <c r="BA403" s="158"/>
      <c r="BB403" s="159"/>
      <c r="BC403" s="160"/>
      <c r="BD403" s="160"/>
      <c r="BE403" s="162"/>
      <c r="BF403" s="162"/>
      <c r="BG403" s="162"/>
      <c r="BH403" s="162"/>
      <c r="BI403" s="162"/>
      <c r="BJ403" s="162"/>
      <c r="BK403" s="162"/>
      <c r="BL403" s="162"/>
      <c r="BM403" s="162"/>
      <c r="BN403" s="162"/>
      <c r="BO403" s="162"/>
      <c r="BP403" s="162"/>
      <c r="BQ403" s="162"/>
      <c r="BR403" s="162"/>
      <c r="BS403" s="162"/>
      <c r="BT403" s="163"/>
      <c r="BU403" s="140"/>
      <c r="BV403" s="156"/>
      <c r="BW403" s="157"/>
      <c r="BX403" s="158"/>
      <c r="BY403" s="158"/>
      <c r="BZ403" s="159"/>
      <c r="CA403" s="160"/>
      <c r="CB403" s="160"/>
      <c r="CC403" s="162"/>
      <c r="CD403" s="162"/>
      <c r="CE403" s="162"/>
      <c r="CF403" s="162"/>
      <c r="CG403" s="162"/>
      <c r="CH403" s="162"/>
      <c r="CI403" s="162"/>
      <c r="CJ403" s="162"/>
      <c r="CK403" s="162"/>
      <c r="CL403" s="162"/>
      <c r="CM403" s="162"/>
      <c r="CN403" s="162"/>
      <c r="CO403" s="162"/>
      <c r="CP403" s="162"/>
      <c r="CQ403" s="162"/>
      <c r="CR403" s="163"/>
      <c r="CS403" s="140"/>
      <c r="CT403" s="156"/>
      <c r="CU403" s="157"/>
      <c r="CV403" s="158"/>
      <c r="CW403" s="158"/>
      <c r="CX403" s="159"/>
      <c r="CY403" s="160"/>
      <c r="CZ403" s="160"/>
      <c r="DA403" s="162"/>
      <c r="DB403" s="162"/>
      <c r="DC403" s="162"/>
      <c r="DD403" s="162"/>
      <c r="DE403" s="162"/>
      <c r="DF403" s="162"/>
      <c r="DG403" s="162"/>
      <c r="DH403" s="162"/>
      <c r="DI403" s="162"/>
      <c r="DJ403" s="162"/>
      <c r="DK403" s="162"/>
      <c r="DL403" s="162"/>
      <c r="DM403" s="162"/>
      <c r="DN403" s="162"/>
      <c r="DO403" s="162"/>
      <c r="DP403" s="163"/>
      <c r="DQ403" s="140"/>
      <c r="DR403" s="156"/>
      <c r="DS403" s="157"/>
      <c r="DT403" s="158"/>
      <c r="DU403" s="158"/>
      <c r="DV403" s="159"/>
      <c r="DW403" s="160"/>
      <c r="DX403" s="160"/>
      <c r="DY403" s="162"/>
      <c r="DZ403" s="162"/>
      <c r="EA403" s="162"/>
      <c r="EB403" s="162"/>
      <c r="EC403" s="162"/>
      <c r="ED403" s="162"/>
      <c r="EE403" s="162"/>
      <c r="EF403" s="162"/>
      <c r="EG403" s="162"/>
      <c r="EH403" s="162"/>
      <c r="EI403" s="162"/>
      <c r="EJ403" s="162"/>
      <c r="EK403" s="162"/>
      <c r="EL403" s="162"/>
      <c r="EM403" s="162"/>
      <c r="EN403" s="163"/>
      <c r="EO403" s="140"/>
      <c r="EP403" s="156"/>
      <c r="EQ403" s="157"/>
      <c r="ER403" s="158"/>
      <c r="ES403" s="158"/>
      <c r="ET403" s="159"/>
      <c r="EU403" s="160"/>
      <c r="EV403" s="160"/>
      <c r="EW403" s="162"/>
      <c r="EX403" s="162"/>
      <c r="EY403" s="162"/>
      <c r="EZ403" s="162"/>
      <c r="FA403" s="162"/>
      <c r="FB403" s="162"/>
      <c r="FC403" s="162"/>
      <c r="FD403" s="162"/>
      <c r="FE403" s="162"/>
      <c r="FF403" s="162"/>
      <c r="FG403" s="162"/>
      <c r="FH403" s="162"/>
      <c r="FI403" s="162"/>
      <c r="FJ403" s="162"/>
      <c r="FK403" s="162"/>
      <c r="FL403" s="163"/>
      <c r="FM403" s="140"/>
      <c r="FN403" s="156"/>
      <c r="FO403" s="157"/>
      <c r="FP403" s="158"/>
      <c r="FQ403" s="158"/>
      <c r="FR403" s="159"/>
      <c r="FS403" s="160"/>
      <c r="FT403" s="160"/>
      <c r="FU403" s="162"/>
      <c r="FV403" s="162"/>
      <c r="FW403" s="162"/>
      <c r="FX403" s="162"/>
      <c r="FY403" s="162"/>
      <c r="FZ403" s="162"/>
      <c r="GA403" s="162"/>
      <c r="GB403" s="162"/>
      <c r="GC403" s="162"/>
      <c r="GD403" s="162"/>
      <c r="GE403" s="162"/>
      <c r="GF403" s="162"/>
      <c r="GG403" s="162"/>
      <c r="GH403" s="162"/>
      <c r="GI403" s="162"/>
      <c r="GJ403" s="163"/>
      <c r="GK403" s="140"/>
      <c r="GL403" s="156"/>
      <c r="GM403" s="157"/>
      <c r="GN403" s="158"/>
      <c r="GO403" s="158"/>
      <c r="GP403" s="159"/>
      <c r="GQ403" s="160"/>
      <c r="GR403" s="160"/>
      <c r="GS403" s="162"/>
      <c r="GT403" s="162"/>
      <c r="GU403" s="162"/>
      <c r="GV403" s="162"/>
      <c r="GW403" s="162"/>
      <c r="GX403" s="162"/>
      <c r="GY403" s="162"/>
      <c r="GZ403" s="162"/>
      <c r="HA403" s="162"/>
      <c r="HB403" s="162"/>
      <c r="HC403" s="162"/>
      <c r="HD403" s="162"/>
      <c r="HE403" s="162"/>
      <c r="HF403" s="162"/>
      <c r="HG403" s="162"/>
      <c r="HH403" s="163"/>
      <c r="HI403" s="140"/>
      <c r="HJ403" s="156"/>
      <c r="HK403" s="157"/>
      <c r="HL403" s="158"/>
      <c r="HM403" s="158"/>
      <c r="HN403" s="159"/>
      <c r="HO403" s="160"/>
      <c r="HP403" s="160"/>
      <c r="HQ403" s="162"/>
      <c r="HR403" s="162"/>
      <c r="HS403" s="162"/>
      <c r="HT403" s="162"/>
      <c r="HU403" s="162"/>
      <c r="HV403" s="162"/>
      <c r="HW403" s="162"/>
      <c r="HX403" s="162"/>
      <c r="HY403" s="162"/>
      <c r="HZ403" s="162"/>
      <c r="IA403" s="162"/>
      <c r="IB403" s="162"/>
      <c r="IC403" s="162"/>
      <c r="ID403" s="162"/>
      <c r="IE403" s="162"/>
      <c r="IF403" s="163"/>
      <c r="IG403" s="140"/>
      <c r="IH403" s="156"/>
      <c r="II403" s="157"/>
      <c r="IJ403" s="158"/>
      <c r="IK403" s="158"/>
      <c r="IL403" s="159"/>
      <c r="IM403" s="160"/>
      <c r="IN403" s="160"/>
      <c r="IO403" s="162"/>
      <c r="IP403" s="162"/>
      <c r="IQ403" s="162"/>
      <c r="IR403" s="162"/>
      <c r="IS403" s="162"/>
      <c r="IT403" s="162"/>
      <c r="IU403" s="162"/>
      <c r="IV403" s="162"/>
    </row>
    <row r="404" spans="1:256" s="141" customFormat="1" ht="30" x14ac:dyDescent="0.25">
      <c r="A404" s="138">
        <v>28.1</v>
      </c>
      <c r="B404" s="165"/>
      <c r="C404" s="110"/>
      <c r="D404" s="80" t="s">
        <v>324</v>
      </c>
      <c r="E404" s="80"/>
      <c r="F404" s="110">
        <v>796</v>
      </c>
      <c r="G404" s="81" t="s">
        <v>17</v>
      </c>
      <c r="H404" s="129">
        <v>40</v>
      </c>
      <c r="I404" s="151">
        <v>98401</v>
      </c>
      <c r="J404" s="83" t="s">
        <v>429</v>
      </c>
      <c r="K404" s="26">
        <v>100000</v>
      </c>
      <c r="L404" s="133"/>
      <c r="M404" s="133"/>
      <c r="N404" s="133"/>
      <c r="O404" s="133"/>
      <c r="P404" s="82"/>
      <c r="Q404" s="64"/>
      <c r="R404" s="83"/>
      <c r="S404" s="64"/>
      <c r="T404" s="83">
        <v>40</v>
      </c>
      <c r="U404" s="26">
        <v>100000</v>
      </c>
      <c r="V404" s="24"/>
      <c r="W404" s="76"/>
      <c r="X404" s="64"/>
      <c r="Y404" s="168"/>
      <c r="Z404" s="168"/>
      <c r="AA404" s="168"/>
      <c r="AB404" s="168"/>
      <c r="AC404" s="168"/>
      <c r="AD404" s="168"/>
      <c r="AE404" s="168"/>
    </row>
    <row r="405" spans="1:256" s="141" customFormat="1" ht="30" x14ac:dyDescent="0.25">
      <c r="A405" s="138">
        <v>28.2</v>
      </c>
      <c r="B405" s="165" t="s">
        <v>411</v>
      </c>
      <c r="C405" s="110">
        <v>1810000</v>
      </c>
      <c r="D405" s="80" t="s">
        <v>325</v>
      </c>
      <c r="E405" s="80"/>
      <c r="F405" s="110">
        <v>796</v>
      </c>
      <c r="G405" s="81" t="s">
        <v>17</v>
      </c>
      <c r="H405" s="129">
        <v>1</v>
      </c>
      <c r="I405" s="151">
        <v>98401</v>
      </c>
      <c r="J405" s="83" t="s">
        <v>429</v>
      </c>
      <c r="K405" s="26">
        <v>50000</v>
      </c>
      <c r="L405" s="133"/>
      <c r="M405" s="133"/>
      <c r="N405" s="133"/>
      <c r="O405" s="133"/>
      <c r="P405" s="82"/>
      <c r="Q405" s="64"/>
      <c r="R405" s="83">
        <v>1</v>
      </c>
      <c r="S405" s="26">
        <v>25000</v>
      </c>
      <c r="T405" s="83"/>
      <c r="U405" s="26"/>
      <c r="V405" s="24">
        <v>1</v>
      </c>
      <c r="W405" s="66">
        <v>25000</v>
      </c>
      <c r="X405" s="64"/>
      <c r="Y405" s="168"/>
      <c r="Z405" s="168"/>
      <c r="AA405" s="168"/>
      <c r="AB405" s="168"/>
      <c r="AC405" s="168"/>
      <c r="AD405" s="168"/>
      <c r="AE405" s="168"/>
    </row>
    <row r="406" spans="1:256" s="141" customFormat="1" x14ac:dyDescent="0.25">
      <c r="A406" s="138">
        <v>28.3</v>
      </c>
      <c r="B406" s="165"/>
      <c r="C406" s="110"/>
      <c r="D406" s="80" t="s">
        <v>326</v>
      </c>
      <c r="E406" s="80"/>
      <c r="F406" s="110">
        <v>796</v>
      </c>
      <c r="G406" s="81" t="s">
        <v>17</v>
      </c>
      <c r="H406" s="129">
        <v>50</v>
      </c>
      <c r="I406" s="151">
        <v>98401</v>
      </c>
      <c r="J406" s="83" t="s">
        <v>429</v>
      </c>
      <c r="K406" s="26">
        <v>250000</v>
      </c>
      <c r="L406" s="133"/>
      <c r="M406" s="133"/>
      <c r="N406" s="133"/>
      <c r="O406" s="133"/>
      <c r="P406" s="82"/>
      <c r="Q406" s="64"/>
      <c r="R406" s="83"/>
      <c r="S406" s="26"/>
      <c r="T406" s="83"/>
      <c r="U406" s="26"/>
      <c r="V406" s="24">
        <v>50</v>
      </c>
      <c r="W406" s="66">
        <v>250000</v>
      </c>
      <c r="X406" s="64"/>
      <c r="Y406" s="168"/>
      <c r="Z406" s="168"/>
      <c r="AA406" s="168"/>
      <c r="AB406" s="168"/>
      <c r="AC406" s="168"/>
      <c r="AD406" s="168"/>
      <c r="AE406" s="168"/>
    </row>
    <row r="407" spans="1:256" s="141" customFormat="1" x14ac:dyDescent="0.25">
      <c r="A407" s="138">
        <v>28.4</v>
      </c>
      <c r="B407" s="165" t="s">
        <v>419</v>
      </c>
      <c r="C407" s="110">
        <v>6611020</v>
      </c>
      <c r="D407" s="80" t="s">
        <v>337</v>
      </c>
      <c r="E407" s="80"/>
      <c r="F407" s="114">
        <v>792</v>
      </c>
      <c r="G407" s="81" t="s">
        <v>103</v>
      </c>
      <c r="H407" s="129">
        <v>18</v>
      </c>
      <c r="I407" s="151">
        <v>98401</v>
      </c>
      <c r="J407" s="83" t="s">
        <v>429</v>
      </c>
      <c r="K407" s="26">
        <v>500000</v>
      </c>
      <c r="L407" s="133"/>
      <c r="M407" s="133"/>
      <c r="N407" s="133"/>
      <c r="O407" s="133"/>
      <c r="P407" s="82"/>
      <c r="Q407" s="64"/>
      <c r="R407" s="83"/>
      <c r="S407" s="26"/>
      <c r="T407" s="83">
        <v>18</v>
      </c>
      <c r="U407" s="26">
        <v>500000</v>
      </c>
      <c r="V407" s="24"/>
      <c r="W407" s="66"/>
      <c r="X407" s="64"/>
      <c r="Y407" s="168"/>
      <c r="Z407" s="168"/>
      <c r="AA407" s="168"/>
      <c r="AB407" s="168"/>
      <c r="AC407" s="168"/>
      <c r="AD407" s="168"/>
      <c r="AE407" s="168"/>
    </row>
    <row r="408" spans="1:256" s="141" customFormat="1" x14ac:dyDescent="0.25">
      <c r="A408" s="138">
        <v>28.5</v>
      </c>
      <c r="B408" s="165" t="s">
        <v>420</v>
      </c>
      <c r="C408" s="110"/>
      <c r="D408" s="80" t="s">
        <v>343</v>
      </c>
      <c r="E408" s="80"/>
      <c r="F408" s="110">
        <v>796</v>
      </c>
      <c r="G408" s="81" t="s">
        <v>17</v>
      </c>
      <c r="H408" s="129">
        <v>26</v>
      </c>
      <c r="I408" s="151">
        <v>98401</v>
      </c>
      <c r="J408" s="83" t="s">
        <v>429</v>
      </c>
      <c r="K408" s="26">
        <v>42885</v>
      </c>
      <c r="L408" s="133"/>
      <c r="M408" s="133"/>
      <c r="N408" s="133"/>
      <c r="O408" s="133"/>
      <c r="P408" s="82"/>
      <c r="Q408" s="64"/>
      <c r="R408" s="83"/>
      <c r="S408" s="26"/>
      <c r="T408" s="83">
        <v>26</v>
      </c>
      <c r="U408" s="26">
        <v>42885</v>
      </c>
      <c r="V408" s="24"/>
      <c r="W408" s="66"/>
      <c r="X408" s="64"/>
      <c r="Y408" s="168"/>
      <c r="Z408" s="168"/>
      <c r="AA408" s="168"/>
      <c r="AB408" s="168"/>
      <c r="AC408" s="168"/>
      <c r="AD408" s="168"/>
      <c r="AE408" s="168"/>
    </row>
    <row r="409" spans="1:256" s="141" customFormat="1" x14ac:dyDescent="0.25">
      <c r="A409" s="138">
        <v>28.6</v>
      </c>
      <c r="B409" s="165"/>
      <c r="C409" s="110"/>
      <c r="D409" s="80" t="s">
        <v>354</v>
      </c>
      <c r="E409" s="80"/>
      <c r="F409" s="114"/>
      <c r="G409" s="81"/>
      <c r="H409" s="129"/>
      <c r="I409" s="151">
        <v>98401</v>
      </c>
      <c r="J409" s="83" t="s">
        <v>429</v>
      </c>
      <c r="K409" s="26">
        <v>113400</v>
      </c>
      <c r="L409" s="133"/>
      <c r="M409" s="133"/>
      <c r="N409" s="133"/>
      <c r="O409" s="133"/>
      <c r="P409" s="82"/>
      <c r="Q409" s="64"/>
      <c r="R409" s="83"/>
      <c r="S409" s="26">
        <v>45000</v>
      </c>
      <c r="T409" s="83"/>
      <c r="U409" s="26">
        <v>34200</v>
      </c>
      <c r="V409" s="24"/>
      <c r="W409" s="66">
        <v>34200</v>
      </c>
      <c r="X409" s="64"/>
      <c r="Y409" s="168"/>
      <c r="Z409" s="168"/>
      <c r="AA409" s="168"/>
      <c r="AB409" s="168"/>
      <c r="AC409" s="168"/>
      <c r="AD409" s="168"/>
      <c r="AE409" s="168"/>
    </row>
    <row r="410" spans="1:256" s="141" customFormat="1" x14ac:dyDescent="0.25">
      <c r="A410" s="138"/>
      <c r="B410" s="165"/>
      <c r="C410" s="110"/>
      <c r="D410" s="215"/>
      <c r="E410" s="215"/>
      <c r="F410" s="197"/>
      <c r="G410" s="81"/>
      <c r="H410" s="129"/>
      <c r="I410" s="154"/>
      <c r="J410" s="66"/>
      <c r="K410" s="64"/>
      <c r="L410" s="134"/>
      <c r="M410" s="134"/>
      <c r="N410" s="134"/>
      <c r="O410" s="134"/>
      <c r="P410" s="82"/>
      <c r="Q410" s="64"/>
      <c r="R410" s="83"/>
      <c r="S410" s="64"/>
      <c r="T410" s="83"/>
      <c r="U410" s="64"/>
      <c r="V410" s="24"/>
      <c r="W410" s="76"/>
      <c r="X410" s="64"/>
      <c r="Y410" s="168"/>
      <c r="Z410" s="168"/>
      <c r="AA410" s="168"/>
      <c r="AB410" s="168"/>
      <c r="AC410" s="168"/>
      <c r="AD410" s="168"/>
      <c r="AE410" s="168"/>
    </row>
    <row r="411" spans="1:256" s="164" customFormat="1" ht="28.5" x14ac:dyDescent="0.2">
      <c r="A411" s="140">
        <v>29</v>
      </c>
      <c r="B411" s="156"/>
      <c r="C411" s="157"/>
      <c r="D411" s="158" t="s">
        <v>327</v>
      </c>
      <c r="E411" s="158"/>
      <c r="F411" s="159">
        <v>796</v>
      </c>
      <c r="G411" s="160" t="s">
        <v>17</v>
      </c>
      <c r="H411" s="160">
        <v>51</v>
      </c>
      <c r="I411" s="161">
        <v>98401</v>
      </c>
      <c r="J411" s="162" t="s">
        <v>429</v>
      </c>
      <c r="K411" s="162">
        <v>295000</v>
      </c>
      <c r="L411" s="162"/>
      <c r="M411" s="162"/>
      <c r="N411" s="162"/>
      <c r="O411" s="162"/>
      <c r="P411" s="162"/>
      <c r="Q411" s="162"/>
      <c r="R411" s="162">
        <v>149</v>
      </c>
      <c r="S411" s="162">
        <v>295000</v>
      </c>
      <c r="T411" s="162"/>
      <c r="U411" s="162"/>
      <c r="V411" s="162"/>
      <c r="W411" s="162"/>
      <c r="X411" s="163"/>
      <c r="Y411" s="140"/>
      <c r="Z411" s="156"/>
      <c r="AA411" s="157"/>
      <c r="AB411" s="158"/>
      <c r="AC411" s="158"/>
      <c r="AD411" s="159"/>
      <c r="AE411" s="160"/>
      <c r="AF411" s="160"/>
      <c r="AG411" s="162"/>
      <c r="AH411" s="162"/>
      <c r="AI411" s="162"/>
      <c r="AJ411" s="162"/>
      <c r="AK411" s="162"/>
      <c r="AL411" s="162"/>
      <c r="AM411" s="162"/>
      <c r="AN411" s="162"/>
      <c r="AO411" s="162"/>
      <c r="AP411" s="162"/>
      <c r="AQ411" s="162"/>
      <c r="AR411" s="162"/>
      <c r="AS411" s="162"/>
      <c r="AT411" s="162"/>
      <c r="AU411" s="162"/>
      <c r="AV411" s="163"/>
      <c r="AW411" s="140"/>
      <c r="AX411" s="156"/>
      <c r="AY411" s="157"/>
      <c r="AZ411" s="158"/>
      <c r="BA411" s="158"/>
      <c r="BB411" s="159"/>
      <c r="BC411" s="160"/>
      <c r="BD411" s="160"/>
      <c r="BE411" s="162"/>
      <c r="BF411" s="162"/>
      <c r="BG411" s="162"/>
      <c r="BH411" s="162"/>
      <c r="BI411" s="162"/>
      <c r="BJ411" s="162"/>
      <c r="BK411" s="162"/>
      <c r="BL411" s="162"/>
      <c r="BM411" s="162"/>
      <c r="BN411" s="162"/>
      <c r="BO411" s="162"/>
      <c r="BP411" s="162"/>
      <c r="BQ411" s="162"/>
      <c r="BR411" s="162"/>
      <c r="BS411" s="162"/>
      <c r="BT411" s="163"/>
      <c r="BU411" s="140"/>
      <c r="BV411" s="156"/>
      <c r="BW411" s="157"/>
      <c r="BX411" s="158"/>
      <c r="BY411" s="158"/>
      <c r="BZ411" s="159"/>
      <c r="CA411" s="160"/>
      <c r="CB411" s="160"/>
      <c r="CC411" s="162"/>
      <c r="CD411" s="162"/>
      <c r="CE411" s="162"/>
      <c r="CF411" s="162"/>
      <c r="CG411" s="162"/>
      <c r="CH411" s="162"/>
      <c r="CI411" s="162"/>
      <c r="CJ411" s="162"/>
      <c r="CK411" s="162"/>
      <c r="CL411" s="162"/>
      <c r="CM411" s="162"/>
      <c r="CN411" s="162"/>
      <c r="CO411" s="162"/>
      <c r="CP411" s="162"/>
      <c r="CQ411" s="162"/>
      <c r="CR411" s="163"/>
      <c r="CS411" s="140"/>
      <c r="CT411" s="156"/>
      <c r="CU411" s="157"/>
      <c r="CV411" s="158"/>
      <c r="CW411" s="158"/>
      <c r="CX411" s="159"/>
      <c r="CY411" s="160"/>
      <c r="CZ411" s="160"/>
      <c r="DA411" s="162"/>
      <c r="DB411" s="162"/>
      <c r="DC411" s="162"/>
      <c r="DD411" s="162"/>
      <c r="DE411" s="162"/>
      <c r="DF411" s="162"/>
      <c r="DG411" s="162"/>
      <c r="DH411" s="162"/>
      <c r="DI411" s="162"/>
      <c r="DJ411" s="162"/>
      <c r="DK411" s="162"/>
      <c r="DL411" s="162"/>
      <c r="DM411" s="162"/>
      <c r="DN411" s="162"/>
      <c r="DO411" s="162"/>
      <c r="DP411" s="163"/>
      <c r="DQ411" s="140"/>
      <c r="DR411" s="156"/>
      <c r="DS411" s="157"/>
      <c r="DT411" s="158"/>
      <c r="DU411" s="158"/>
      <c r="DV411" s="159"/>
      <c r="DW411" s="160"/>
      <c r="DX411" s="160"/>
      <c r="DY411" s="162"/>
      <c r="DZ411" s="162"/>
      <c r="EA411" s="162"/>
      <c r="EB411" s="162"/>
      <c r="EC411" s="162"/>
      <c r="ED411" s="162"/>
      <c r="EE411" s="162"/>
      <c r="EF411" s="162"/>
      <c r="EG411" s="162"/>
      <c r="EH411" s="162"/>
      <c r="EI411" s="162"/>
      <c r="EJ411" s="162"/>
      <c r="EK411" s="162"/>
      <c r="EL411" s="162"/>
      <c r="EM411" s="162"/>
      <c r="EN411" s="163"/>
      <c r="EO411" s="140"/>
      <c r="EP411" s="156"/>
      <c r="EQ411" s="157"/>
      <c r="ER411" s="158"/>
      <c r="ES411" s="158"/>
      <c r="ET411" s="159"/>
      <c r="EU411" s="160"/>
      <c r="EV411" s="160"/>
      <c r="EW411" s="162"/>
      <c r="EX411" s="162"/>
      <c r="EY411" s="162"/>
      <c r="EZ411" s="162"/>
      <c r="FA411" s="162"/>
      <c r="FB411" s="162"/>
      <c r="FC411" s="162"/>
      <c r="FD411" s="162"/>
      <c r="FE411" s="162"/>
      <c r="FF411" s="162"/>
      <c r="FG411" s="162"/>
      <c r="FH411" s="162"/>
      <c r="FI411" s="162"/>
      <c r="FJ411" s="162"/>
      <c r="FK411" s="162"/>
      <c r="FL411" s="163"/>
      <c r="FM411" s="140"/>
      <c r="FN411" s="156"/>
      <c r="FO411" s="157"/>
      <c r="FP411" s="158"/>
      <c r="FQ411" s="158"/>
      <c r="FR411" s="159"/>
      <c r="FS411" s="160"/>
      <c r="FT411" s="160"/>
      <c r="FU411" s="162"/>
      <c r="FV411" s="162"/>
      <c r="FW411" s="162"/>
      <c r="FX411" s="162"/>
      <c r="FY411" s="162"/>
      <c r="FZ411" s="162"/>
      <c r="GA411" s="162"/>
      <c r="GB411" s="162"/>
      <c r="GC411" s="162"/>
      <c r="GD411" s="162"/>
      <c r="GE411" s="162"/>
      <c r="GF411" s="162"/>
      <c r="GG411" s="162"/>
      <c r="GH411" s="162"/>
      <c r="GI411" s="162"/>
      <c r="GJ411" s="163"/>
      <c r="GK411" s="140"/>
      <c r="GL411" s="156"/>
      <c r="GM411" s="157"/>
      <c r="GN411" s="158"/>
      <c r="GO411" s="158"/>
      <c r="GP411" s="159"/>
      <c r="GQ411" s="160"/>
      <c r="GR411" s="160"/>
      <c r="GS411" s="162"/>
      <c r="GT411" s="162"/>
      <c r="GU411" s="162"/>
      <c r="GV411" s="162"/>
      <c r="GW411" s="162"/>
      <c r="GX411" s="162"/>
      <c r="GY411" s="162"/>
      <c r="GZ411" s="162"/>
      <c r="HA411" s="162"/>
      <c r="HB411" s="162"/>
      <c r="HC411" s="162"/>
      <c r="HD411" s="162"/>
      <c r="HE411" s="162"/>
      <c r="HF411" s="162"/>
      <c r="HG411" s="162"/>
      <c r="HH411" s="163"/>
      <c r="HI411" s="140"/>
      <c r="HJ411" s="156"/>
      <c r="HK411" s="157"/>
      <c r="HL411" s="158"/>
      <c r="HM411" s="158"/>
      <c r="HN411" s="159"/>
      <c r="HO411" s="160"/>
      <c r="HP411" s="160"/>
      <c r="HQ411" s="162"/>
      <c r="HR411" s="162"/>
      <c r="HS411" s="162"/>
      <c r="HT411" s="162"/>
      <c r="HU411" s="162"/>
      <c r="HV411" s="162"/>
      <c r="HW411" s="162"/>
      <c r="HX411" s="162"/>
      <c r="HY411" s="162"/>
      <c r="HZ411" s="162"/>
      <c r="IA411" s="162"/>
      <c r="IB411" s="162"/>
      <c r="IC411" s="162"/>
      <c r="ID411" s="162"/>
      <c r="IE411" s="162"/>
      <c r="IF411" s="163"/>
      <c r="IG411" s="140"/>
      <c r="IH411" s="156"/>
      <c r="II411" s="157"/>
      <c r="IJ411" s="158"/>
      <c r="IK411" s="158"/>
      <c r="IL411" s="159"/>
      <c r="IM411" s="160"/>
      <c r="IN411" s="160"/>
      <c r="IO411" s="162"/>
      <c r="IP411" s="162"/>
      <c r="IQ411" s="162"/>
      <c r="IR411" s="162"/>
      <c r="IS411" s="162"/>
      <c r="IT411" s="162"/>
      <c r="IU411" s="162"/>
      <c r="IV411" s="162"/>
    </row>
    <row r="412" spans="1:256" s="141" customFormat="1" x14ac:dyDescent="0.25">
      <c r="A412" s="138"/>
      <c r="B412" s="165"/>
      <c r="C412" s="110"/>
      <c r="D412" s="215"/>
      <c r="E412" s="215"/>
      <c r="F412" s="197"/>
      <c r="G412" s="81"/>
      <c r="H412" s="129"/>
      <c r="I412" s="154"/>
      <c r="J412" s="66"/>
      <c r="K412" s="64"/>
      <c r="L412" s="134"/>
      <c r="M412" s="134"/>
      <c r="N412" s="134"/>
      <c r="O412" s="134"/>
      <c r="P412" s="216"/>
      <c r="Q412" s="64"/>
      <c r="R412" s="83"/>
      <c r="S412" s="64"/>
      <c r="T412" s="83"/>
      <c r="U412" s="64"/>
      <c r="V412" s="24"/>
      <c r="W412" s="76"/>
      <c r="X412" s="64"/>
      <c r="Y412" s="168"/>
      <c r="Z412" s="168"/>
      <c r="AA412" s="168"/>
      <c r="AB412" s="168"/>
      <c r="AC412" s="168"/>
      <c r="AD412" s="168"/>
      <c r="AE412" s="168"/>
    </row>
    <row r="413" spans="1:256" s="164" customFormat="1" ht="14.25" x14ac:dyDescent="0.2">
      <c r="A413" s="140"/>
      <c r="B413" s="156"/>
      <c r="C413" s="157"/>
      <c r="D413" s="158" t="s">
        <v>328</v>
      </c>
      <c r="E413" s="158"/>
      <c r="F413" s="159"/>
      <c r="G413" s="160"/>
      <c r="H413" s="160"/>
      <c r="I413" s="161"/>
      <c r="J413" s="162"/>
      <c r="K413" s="162">
        <v>66047939.59271203</v>
      </c>
      <c r="L413" s="162"/>
      <c r="M413" s="162"/>
      <c r="N413" s="162"/>
      <c r="O413" s="162"/>
      <c r="P413" s="162"/>
      <c r="Q413" s="162">
        <v>20345304.986256219</v>
      </c>
      <c r="R413" s="162"/>
      <c r="S413" s="162">
        <v>5709651.5</v>
      </c>
      <c r="T413" s="162"/>
      <c r="U413" s="162">
        <v>12111358.99</v>
      </c>
      <c r="V413" s="162"/>
      <c r="W413" s="162">
        <v>28301277.949999999</v>
      </c>
      <c r="X413" s="163"/>
      <c r="Y413" s="140"/>
      <c r="Z413" s="156"/>
      <c r="AA413" s="157"/>
      <c r="AB413" s="158"/>
      <c r="AC413" s="158"/>
      <c r="AD413" s="159"/>
      <c r="AE413" s="160"/>
      <c r="AF413" s="160"/>
      <c r="AG413" s="162"/>
      <c r="AH413" s="162"/>
      <c r="AI413" s="162"/>
      <c r="AJ413" s="162"/>
      <c r="AK413" s="162"/>
      <c r="AL413" s="162"/>
      <c r="AM413" s="162"/>
      <c r="AN413" s="162"/>
      <c r="AO413" s="162"/>
      <c r="AP413" s="162"/>
      <c r="AQ413" s="162"/>
      <c r="AR413" s="162"/>
      <c r="AS413" s="162"/>
      <c r="AT413" s="162"/>
      <c r="AU413" s="162"/>
      <c r="AV413" s="163"/>
      <c r="AW413" s="140"/>
      <c r="AX413" s="156"/>
      <c r="AY413" s="157"/>
      <c r="AZ413" s="158"/>
      <c r="BA413" s="158"/>
      <c r="BB413" s="159"/>
      <c r="BC413" s="160"/>
      <c r="BD413" s="160"/>
      <c r="BE413" s="162"/>
      <c r="BF413" s="162"/>
      <c r="BG413" s="162"/>
      <c r="BH413" s="162"/>
      <c r="BI413" s="162"/>
      <c r="BJ413" s="162"/>
      <c r="BK413" s="162"/>
      <c r="BL413" s="162"/>
      <c r="BM413" s="162"/>
      <c r="BN413" s="162"/>
      <c r="BO413" s="162"/>
      <c r="BP413" s="162"/>
      <c r="BQ413" s="162"/>
      <c r="BR413" s="162"/>
      <c r="BS413" s="162"/>
      <c r="BT413" s="163"/>
      <c r="BU413" s="140"/>
      <c r="BV413" s="156"/>
      <c r="BW413" s="157"/>
      <c r="BX413" s="158"/>
      <c r="BY413" s="158"/>
      <c r="BZ413" s="159"/>
      <c r="CA413" s="160"/>
      <c r="CB413" s="160"/>
      <c r="CC413" s="162"/>
      <c r="CD413" s="162"/>
      <c r="CE413" s="162"/>
      <c r="CF413" s="162"/>
      <c r="CG413" s="162"/>
      <c r="CH413" s="162"/>
      <c r="CI413" s="162"/>
      <c r="CJ413" s="162"/>
      <c r="CK413" s="162"/>
      <c r="CL413" s="162"/>
      <c r="CM413" s="162"/>
      <c r="CN413" s="162"/>
      <c r="CO413" s="162"/>
      <c r="CP413" s="162"/>
      <c r="CQ413" s="162"/>
      <c r="CR413" s="163"/>
      <c r="CS413" s="140"/>
      <c r="CT413" s="156"/>
      <c r="CU413" s="157"/>
      <c r="CV413" s="158"/>
      <c r="CW413" s="158"/>
      <c r="CX413" s="159"/>
      <c r="CY413" s="160"/>
      <c r="CZ413" s="160"/>
      <c r="DA413" s="162"/>
      <c r="DB413" s="162"/>
      <c r="DC413" s="162"/>
      <c r="DD413" s="162"/>
      <c r="DE413" s="162"/>
      <c r="DF413" s="162"/>
      <c r="DG413" s="162"/>
      <c r="DH413" s="162"/>
      <c r="DI413" s="162"/>
      <c r="DJ413" s="162"/>
      <c r="DK413" s="162"/>
      <c r="DL413" s="162"/>
      <c r="DM413" s="162"/>
      <c r="DN413" s="162"/>
      <c r="DO413" s="162"/>
      <c r="DP413" s="163"/>
      <c r="DQ413" s="140"/>
      <c r="DR413" s="156"/>
      <c r="DS413" s="157"/>
      <c r="DT413" s="158"/>
      <c r="DU413" s="158"/>
      <c r="DV413" s="159"/>
      <c r="DW413" s="160"/>
      <c r="DX413" s="160"/>
      <c r="DY413" s="162"/>
      <c r="DZ413" s="162"/>
      <c r="EA413" s="162"/>
      <c r="EB413" s="162"/>
      <c r="EC413" s="162"/>
      <c r="ED413" s="162"/>
      <c r="EE413" s="162"/>
      <c r="EF413" s="162"/>
      <c r="EG413" s="162"/>
      <c r="EH413" s="162"/>
      <c r="EI413" s="162"/>
      <c r="EJ413" s="162"/>
      <c r="EK413" s="162"/>
      <c r="EL413" s="162"/>
      <c r="EM413" s="162"/>
      <c r="EN413" s="163"/>
      <c r="EO413" s="140"/>
      <c r="EP413" s="156"/>
      <c r="EQ413" s="157"/>
      <c r="ER413" s="158"/>
      <c r="ES413" s="158"/>
      <c r="ET413" s="159"/>
      <c r="EU413" s="160"/>
      <c r="EV413" s="160"/>
      <c r="EW413" s="162"/>
      <c r="EX413" s="162"/>
      <c r="EY413" s="162"/>
      <c r="EZ413" s="162"/>
      <c r="FA413" s="162"/>
      <c r="FB413" s="162"/>
      <c r="FC413" s="162"/>
      <c r="FD413" s="162"/>
      <c r="FE413" s="162"/>
      <c r="FF413" s="162"/>
      <c r="FG413" s="162"/>
      <c r="FH413" s="162"/>
      <c r="FI413" s="162"/>
      <c r="FJ413" s="162"/>
      <c r="FK413" s="162"/>
      <c r="FL413" s="163"/>
      <c r="FM413" s="140"/>
      <c r="FN413" s="156"/>
      <c r="FO413" s="157"/>
      <c r="FP413" s="158"/>
      <c r="FQ413" s="158"/>
      <c r="FR413" s="159"/>
      <c r="FS413" s="160"/>
      <c r="FT413" s="160"/>
      <c r="FU413" s="162"/>
      <c r="FV413" s="162"/>
      <c r="FW413" s="162"/>
      <c r="FX413" s="162"/>
      <c r="FY413" s="162"/>
      <c r="FZ413" s="162"/>
      <c r="GA413" s="162"/>
      <c r="GB413" s="162"/>
      <c r="GC413" s="162"/>
      <c r="GD413" s="162"/>
      <c r="GE413" s="162"/>
      <c r="GF413" s="162"/>
      <c r="GG413" s="162"/>
      <c r="GH413" s="162"/>
      <c r="GI413" s="162"/>
      <c r="GJ413" s="163"/>
      <c r="GK413" s="140"/>
      <c r="GL413" s="156"/>
      <c r="GM413" s="157"/>
      <c r="GN413" s="158"/>
      <c r="GO413" s="158"/>
      <c r="GP413" s="159"/>
      <c r="GQ413" s="160"/>
      <c r="GR413" s="160"/>
      <c r="GS413" s="162"/>
      <c r="GT413" s="162"/>
      <c r="GU413" s="162"/>
      <c r="GV413" s="162"/>
      <c r="GW413" s="162"/>
      <c r="GX413" s="162"/>
      <c r="GY413" s="162"/>
      <c r="GZ413" s="162"/>
      <c r="HA413" s="162"/>
      <c r="HB413" s="162"/>
      <c r="HC413" s="162"/>
      <c r="HD413" s="162"/>
      <c r="HE413" s="162"/>
      <c r="HF413" s="162"/>
      <c r="HG413" s="162"/>
      <c r="HH413" s="163"/>
      <c r="HI413" s="140"/>
      <c r="HJ413" s="156"/>
      <c r="HK413" s="157"/>
      <c r="HL413" s="158"/>
      <c r="HM413" s="158"/>
      <c r="HN413" s="159"/>
      <c r="HO413" s="160"/>
      <c r="HP413" s="160"/>
      <c r="HQ413" s="162"/>
      <c r="HR413" s="162"/>
      <c r="HS413" s="162"/>
      <c r="HT413" s="162"/>
      <c r="HU413" s="162"/>
      <c r="HV413" s="162"/>
      <c r="HW413" s="162"/>
      <c r="HX413" s="162"/>
      <c r="HY413" s="162"/>
      <c r="HZ413" s="162"/>
      <c r="IA413" s="162"/>
      <c r="IB413" s="162"/>
      <c r="IC413" s="162"/>
      <c r="ID413" s="162"/>
      <c r="IE413" s="162"/>
      <c r="IF413" s="163"/>
      <c r="IG413" s="140"/>
      <c r="IH413" s="156"/>
      <c r="II413" s="157"/>
      <c r="IJ413" s="158"/>
      <c r="IK413" s="158"/>
      <c r="IL413" s="159"/>
      <c r="IM413" s="160"/>
      <c r="IN413" s="160"/>
      <c r="IO413" s="162"/>
      <c r="IP413" s="162"/>
      <c r="IQ413" s="162"/>
      <c r="IR413" s="162"/>
      <c r="IS413" s="162"/>
      <c r="IT413" s="162"/>
      <c r="IU413" s="162"/>
      <c r="IV413" s="162"/>
    </row>
    <row r="414" spans="1:256" x14ac:dyDescent="0.25">
      <c r="A414" s="2"/>
      <c r="B414" s="127"/>
      <c r="D414" s="3"/>
      <c r="E414" s="3"/>
      <c r="F414" s="44"/>
      <c r="G414" s="2"/>
      <c r="K414" s="78"/>
      <c r="L414" s="78"/>
      <c r="M414" s="78"/>
      <c r="N414" s="78"/>
      <c r="O414" s="78"/>
    </row>
    <row r="415" spans="1:256" x14ac:dyDescent="0.25">
      <c r="A415" s="2"/>
      <c r="B415" s="127"/>
      <c r="D415" s="3"/>
      <c r="E415" s="3"/>
      <c r="F415" s="44"/>
      <c r="G415" s="2"/>
      <c r="K415" s="78"/>
      <c r="L415" s="78"/>
      <c r="M415" s="78"/>
      <c r="N415" s="78"/>
      <c r="O415" s="78"/>
    </row>
    <row r="416" spans="1:256" x14ac:dyDescent="0.25">
      <c r="A416" s="2"/>
      <c r="B416" s="127"/>
      <c r="D416" s="3"/>
      <c r="E416" s="3"/>
      <c r="F416" s="44"/>
      <c r="G416" s="2"/>
      <c r="K416" s="78"/>
      <c r="L416" s="78"/>
      <c r="M416" s="78"/>
      <c r="N416" s="78"/>
      <c r="O416" s="78"/>
    </row>
    <row r="417" spans="1:7" x14ac:dyDescent="0.25">
      <c r="A417" s="2"/>
      <c r="B417" s="127"/>
      <c r="D417" s="3"/>
      <c r="E417" s="3"/>
      <c r="F417" s="44"/>
      <c r="G417" s="2"/>
    </row>
    <row r="418" spans="1:7" x14ac:dyDescent="0.25">
      <c r="A418" s="2"/>
      <c r="B418" s="127"/>
      <c r="D418" s="3"/>
      <c r="E418" s="3"/>
      <c r="F418" s="44"/>
      <c r="G418" s="2"/>
    </row>
    <row r="419" spans="1:7" x14ac:dyDescent="0.25">
      <c r="A419" s="2"/>
      <c r="B419" s="127"/>
      <c r="D419" s="3"/>
      <c r="E419" s="3"/>
      <c r="F419" s="44"/>
      <c r="G419" s="2"/>
    </row>
    <row r="420" spans="1:7" x14ac:dyDescent="0.25">
      <c r="A420" s="2"/>
      <c r="B420" s="127"/>
      <c r="D420" s="3"/>
      <c r="E420" s="3"/>
      <c r="F420" s="44"/>
      <c r="G420" s="2"/>
    </row>
    <row r="421" spans="1:7" x14ac:dyDescent="0.25">
      <c r="A421" s="2"/>
      <c r="B421" s="127"/>
      <c r="D421" s="3"/>
      <c r="E421" s="3"/>
      <c r="F421" s="44"/>
      <c r="G421" s="2"/>
    </row>
    <row r="422" spans="1:7" x14ac:dyDescent="0.25">
      <c r="A422" s="2"/>
      <c r="B422" s="127"/>
      <c r="D422" s="3"/>
      <c r="E422" s="3"/>
      <c r="F422" s="44"/>
      <c r="G422" s="2"/>
    </row>
    <row r="423" spans="1:7" x14ac:dyDescent="0.25">
      <c r="A423" s="2"/>
      <c r="B423" s="127"/>
      <c r="D423" s="3"/>
      <c r="E423" s="3"/>
      <c r="F423" s="44"/>
      <c r="G423" s="2"/>
    </row>
    <row r="424" spans="1:7" x14ac:dyDescent="0.25">
      <c r="A424" s="2"/>
      <c r="B424" s="127"/>
      <c r="D424" s="3"/>
      <c r="E424" s="3"/>
      <c r="F424" s="44"/>
      <c r="G424" s="2"/>
    </row>
    <row r="425" spans="1:7" x14ac:dyDescent="0.25">
      <c r="A425" s="2"/>
      <c r="B425" s="127"/>
      <c r="D425" s="3"/>
      <c r="E425" s="3"/>
      <c r="F425" s="44"/>
      <c r="G425" s="2"/>
    </row>
    <row r="426" spans="1:7" x14ac:dyDescent="0.25">
      <c r="A426" s="2"/>
      <c r="B426" s="127"/>
      <c r="D426" s="3"/>
      <c r="E426" s="3"/>
      <c r="F426" s="44"/>
      <c r="G426" s="2"/>
    </row>
    <row r="427" spans="1:7" x14ac:dyDescent="0.25">
      <c r="A427" s="2"/>
      <c r="B427" s="127"/>
      <c r="D427" s="3"/>
      <c r="E427" s="3"/>
      <c r="F427" s="44"/>
      <c r="G427" s="2"/>
    </row>
    <row r="428" spans="1:7" x14ac:dyDescent="0.25">
      <c r="A428" s="2"/>
      <c r="B428" s="127"/>
      <c r="D428" s="3"/>
      <c r="E428" s="3"/>
      <c r="F428" s="44"/>
      <c r="G428" s="2"/>
    </row>
    <row r="429" spans="1:7" x14ac:dyDescent="0.25">
      <c r="A429" s="2"/>
      <c r="B429" s="127"/>
      <c r="D429" s="3"/>
      <c r="E429" s="3"/>
      <c r="F429" s="44"/>
      <c r="G429" s="2"/>
    </row>
    <row r="430" spans="1:7" x14ac:dyDescent="0.25">
      <c r="A430" s="2"/>
      <c r="B430" s="127"/>
      <c r="D430" s="3"/>
      <c r="E430" s="3"/>
      <c r="F430" s="44"/>
      <c r="G430" s="2"/>
    </row>
    <row r="431" spans="1:7" x14ac:dyDescent="0.25">
      <c r="A431" s="2"/>
      <c r="B431" s="127"/>
      <c r="D431" s="3"/>
      <c r="E431" s="3"/>
      <c r="F431" s="44"/>
      <c r="G431" s="2"/>
    </row>
    <row r="432" spans="1:7" x14ac:dyDescent="0.25">
      <c r="A432" s="2"/>
      <c r="B432" s="127"/>
      <c r="D432" s="3"/>
      <c r="E432" s="3"/>
      <c r="F432" s="44"/>
      <c r="G432" s="2"/>
    </row>
    <row r="433" spans="1:7" x14ac:dyDescent="0.25">
      <c r="A433" s="2"/>
      <c r="B433" s="127"/>
      <c r="D433" s="3"/>
      <c r="E433" s="3"/>
      <c r="F433" s="44"/>
      <c r="G433" s="2"/>
    </row>
    <row r="434" spans="1:7" x14ac:dyDescent="0.25">
      <c r="A434" s="2"/>
      <c r="B434" s="127"/>
      <c r="D434" s="3"/>
      <c r="E434" s="3"/>
      <c r="F434" s="44"/>
      <c r="G434" s="2"/>
    </row>
    <row r="435" spans="1:7" x14ac:dyDescent="0.25">
      <c r="A435" s="2"/>
      <c r="B435" s="127"/>
      <c r="D435" s="3"/>
      <c r="E435" s="3"/>
      <c r="F435" s="44"/>
      <c r="G435" s="2"/>
    </row>
    <row r="436" spans="1:7" x14ac:dyDescent="0.25">
      <c r="A436" s="2"/>
      <c r="B436" s="127"/>
      <c r="D436" s="3"/>
      <c r="E436" s="3"/>
      <c r="F436" s="44"/>
      <c r="G436" s="2"/>
    </row>
    <row r="437" spans="1:7" x14ac:dyDescent="0.25">
      <c r="A437" s="2"/>
      <c r="B437" s="127"/>
      <c r="D437" s="3"/>
      <c r="E437" s="3"/>
      <c r="F437" s="44"/>
      <c r="G437" s="2"/>
    </row>
    <row r="438" spans="1:7" x14ac:dyDescent="0.25">
      <c r="A438" s="2"/>
      <c r="B438" s="127"/>
      <c r="D438" s="3"/>
      <c r="E438" s="3"/>
      <c r="F438" s="44"/>
      <c r="G438" s="2"/>
    </row>
    <row r="439" spans="1:7" x14ac:dyDescent="0.25">
      <c r="A439" s="2"/>
      <c r="B439" s="127"/>
      <c r="D439" s="3"/>
      <c r="E439" s="3"/>
      <c r="F439" s="44"/>
      <c r="G439" s="2"/>
    </row>
    <row r="440" spans="1:7" x14ac:dyDescent="0.25">
      <c r="A440" s="2"/>
      <c r="B440" s="127"/>
      <c r="D440" s="3"/>
      <c r="E440" s="3"/>
      <c r="F440" s="44"/>
      <c r="G440" s="2"/>
    </row>
    <row r="441" spans="1:7" x14ac:dyDescent="0.25">
      <c r="A441" s="2"/>
      <c r="B441" s="127"/>
      <c r="D441" s="3"/>
      <c r="E441" s="3"/>
      <c r="F441" s="44"/>
      <c r="G441" s="2"/>
    </row>
    <row r="442" spans="1:7" x14ac:dyDescent="0.25">
      <c r="A442" s="2"/>
      <c r="B442" s="127"/>
      <c r="D442" s="3"/>
      <c r="E442" s="3"/>
      <c r="F442" s="44"/>
      <c r="G442" s="2"/>
    </row>
    <row r="443" spans="1:7" x14ac:dyDescent="0.25">
      <c r="A443" s="2"/>
      <c r="B443" s="127"/>
      <c r="D443" s="3"/>
      <c r="E443" s="3"/>
      <c r="F443" s="44"/>
      <c r="G443" s="2"/>
    </row>
    <row r="444" spans="1:7" x14ac:dyDescent="0.25">
      <c r="A444" s="2"/>
      <c r="B444" s="127"/>
      <c r="D444" s="3"/>
      <c r="E444" s="3"/>
      <c r="F444" s="44"/>
      <c r="G444" s="2"/>
    </row>
    <row r="445" spans="1:7" x14ac:dyDescent="0.25">
      <c r="A445" s="2"/>
      <c r="B445" s="127"/>
      <c r="D445" s="3"/>
      <c r="E445" s="3"/>
      <c r="F445" s="44"/>
      <c r="G445" s="2"/>
    </row>
    <row r="446" spans="1:7" x14ac:dyDescent="0.25">
      <c r="A446" s="2"/>
      <c r="B446" s="127"/>
      <c r="D446" s="3"/>
      <c r="E446" s="3"/>
      <c r="F446" s="44"/>
      <c r="G446" s="2"/>
    </row>
    <row r="447" spans="1:7" x14ac:dyDescent="0.25">
      <c r="A447" s="2"/>
      <c r="B447" s="127"/>
      <c r="D447" s="3"/>
      <c r="E447" s="3"/>
      <c r="F447" s="44"/>
      <c r="G447" s="2"/>
    </row>
    <row r="448" spans="1:7" x14ac:dyDescent="0.25">
      <c r="A448" s="2"/>
      <c r="B448" s="127"/>
      <c r="D448" s="3"/>
      <c r="E448" s="3"/>
      <c r="F448" s="44"/>
      <c r="G448" s="2"/>
    </row>
    <row r="449" spans="1:7" x14ac:dyDescent="0.25">
      <c r="A449" s="2"/>
      <c r="B449" s="127"/>
      <c r="D449" s="3"/>
      <c r="E449" s="3"/>
      <c r="F449" s="44"/>
      <c r="G449" s="2"/>
    </row>
    <row r="450" spans="1:7" x14ac:dyDescent="0.25">
      <c r="A450" s="2"/>
      <c r="B450" s="127"/>
      <c r="D450" s="3"/>
      <c r="E450" s="3"/>
      <c r="F450" s="44"/>
      <c r="G450" s="2"/>
    </row>
    <row r="451" spans="1:7" x14ac:dyDescent="0.25">
      <c r="A451" s="2"/>
      <c r="B451" s="127"/>
      <c r="D451" s="3"/>
      <c r="E451" s="3"/>
      <c r="F451" s="44"/>
      <c r="G451" s="2"/>
    </row>
    <row r="452" spans="1:7" x14ac:dyDescent="0.25">
      <c r="A452" s="2"/>
      <c r="B452" s="127"/>
      <c r="D452" s="3"/>
      <c r="E452" s="3"/>
      <c r="F452" s="44"/>
      <c r="G452" s="2"/>
    </row>
    <row r="453" spans="1:7" x14ac:dyDescent="0.25">
      <c r="A453" s="2"/>
      <c r="B453" s="127"/>
      <c r="D453" s="3"/>
      <c r="E453" s="3"/>
      <c r="F453" s="44"/>
      <c r="G453" s="2"/>
    </row>
    <row r="454" spans="1:7" x14ac:dyDescent="0.25">
      <c r="A454" s="2"/>
      <c r="B454" s="127"/>
      <c r="D454" s="3"/>
      <c r="E454" s="3"/>
      <c r="F454" s="44"/>
      <c r="G454" s="2"/>
    </row>
    <row r="455" spans="1:7" x14ac:dyDescent="0.25">
      <c r="A455" s="2"/>
      <c r="B455" s="127"/>
      <c r="D455" s="3"/>
      <c r="E455" s="3"/>
      <c r="F455" s="44"/>
      <c r="G455" s="2"/>
    </row>
    <row r="456" spans="1:7" x14ac:dyDescent="0.25">
      <c r="A456" s="2"/>
      <c r="B456" s="127"/>
      <c r="D456" s="3"/>
      <c r="E456" s="3"/>
      <c r="F456" s="44"/>
      <c r="G456" s="2"/>
    </row>
    <row r="457" spans="1:7" x14ac:dyDescent="0.25">
      <c r="A457" s="2"/>
      <c r="B457" s="127"/>
      <c r="D457" s="3"/>
      <c r="E457" s="3"/>
      <c r="F457" s="44"/>
      <c r="G457" s="2"/>
    </row>
    <row r="458" spans="1:7" x14ac:dyDescent="0.25">
      <c r="A458" s="2"/>
      <c r="B458" s="127"/>
      <c r="D458" s="3"/>
      <c r="E458" s="3"/>
      <c r="F458" s="44"/>
      <c r="G458" s="2"/>
    </row>
    <row r="459" spans="1:7" x14ac:dyDescent="0.25">
      <c r="A459" s="2"/>
      <c r="B459" s="127"/>
      <c r="D459" s="3"/>
      <c r="E459" s="3"/>
      <c r="F459" s="44"/>
      <c r="G459" s="2"/>
    </row>
    <row r="460" spans="1:7" x14ac:dyDescent="0.25">
      <c r="A460" s="2"/>
      <c r="B460" s="127"/>
      <c r="D460" s="3"/>
      <c r="E460" s="3"/>
      <c r="F460" s="44"/>
      <c r="G460" s="2"/>
    </row>
    <row r="461" spans="1:7" x14ac:dyDescent="0.25">
      <c r="A461" s="2"/>
      <c r="B461" s="127"/>
      <c r="D461" s="3"/>
      <c r="E461" s="3"/>
      <c r="F461" s="44"/>
      <c r="G461" s="2"/>
    </row>
    <row r="462" spans="1:7" x14ac:dyDescent="0.25">
      <c r="A462" s="2"/>
      <c r="B462" s="127"/>
      <c r="D462" s="3"/>
      <c r="E462" s="3"/>
      <c r="F462" s="44"/>
      <c r="G462" s="2"/>
    </row>
    <row r="463" spans="1:7" x14ac:dyDescent="0.25">
      <c r="A463" s="2"/>
      <c r="B463" s="127"/>
      <c r="D463" s="3"/>
      <c r="E463" s="3"/>
      <c r="F463" s="44"/>
      <c r="G463" s="2"/>
    </row>
    <row r="464" spans="1:7" x14ac:dyDescent="0.25">
      <c r="A464" s="2"/>
      <c r="B464" s="127"/>
      <c r="D464" s="3"/>
      <c r="E464" s="3"/>
      <c r="F464" s="44"/>
      <c r="G464" s="2"/>
    </row>
    <row r="465" spans="1:7" x14ac:dyDescent="0.25">
      <c r="A465" s="2"/>
      <c r="B465" s="127"/>
      <c r="D465" s="3"/>
      <c r="E465" s="3"/>
      <c r="F465" s="44"/>
      <c r="G465" s="2"/>
    </row>
    <row r="466" spans="1:7" x14ac:dyDescent="0.25">
      <c r="A466" s="2"/>
      <c r="B466" s="127"/>
      <c r="D466" s="3"/>
      <c r="E466" s="3"/>
      <c r="F466" s="44"/>
      <c r="G466" s="2"/>
    </row>
    <row r="467" spans="1:7" x14ac:dyDescent="0.25">
      <c r="A467" s="2"/>
      <c r="B467" s="127"/>
      <c r="D467" s="3"/>
      <c r="E467" s="3"/>
      <c r="F467" s="44"/>
      <c r="G467" s="2"/>
    </row>
    <row r="468" spans="1:7" x14ac:dyDescent="0.25">
      <c r="A468" s="2"/>
      <c r="B468" s="127"/>
      <c r="D468" s="3"/>
      <c r="E468" s="3"/>
      <c r="F468" s="44"/>
      <c r="G468" s="2"/>
    </row>
    <row r="469" spans="1:7" x14ac:dyDescent="0.25">
      <c r="A469" s="2"/>
      <c r="B469" s="127"/>
      <c r="D469" s="3"/>
      <c r="E469" s="3"/>
      <c r="F469" s="44"/>
      <c r="G469" s="2"/>
    </row>
    <row r="470" spans="1:7" x14ac:dyDescent="0.25">
      <c r="A470" s="2"/>
      <c r="B470" s="127"/>
      <c r="D470" s="3"/>
      <c r="E470" s="3"/>
      <c r="F470" s="44"/>
      <c r="G470" s="2"/>
    </row>
    <row r="471" spans="1:7" x14ac:dyDescent="0.25">
      <c r="A471" s="2"/>
      <c r="B471" s="127"/>
      <c r="D471" s="3"/>
      <c r="E471" s="3"/>
      <c r="F471" s="44"/>
      <c r="G471" s="2"/>
    </row>
    <row r="472" spans="1:7" x14ac:dyDescent="0.25">
      <c r="A472" s="2"/>
      <c r="B472" s="127"/>
      <c r="D472" s="3"/>
      <c r="E472" s="3"/>
      <c r="F472" s="44"/>
      <c r="G472" s="2"/>
    </row>
    <row r="473" spans="1:7" x14ac:dyDescent="0.25">
      <c r="A473" s="2"/>
      <c r="B473" s="127"/>
      <c r="D473" s="3"/>
      <c r="E473" s="3"/>
      <c r="F473" s="44"/>
      <c r="G473" s="2"/>
    </row>
    <row r="474" spans="1:7" x14ac:dyDescent="0.25">
      <c r="A474" s="2"/>
      <c r="B474" s="127"/>
      <c r="D474" s="3"/>
      <c r="E474" s="3"/>
      <c r="F474" s="44"/>
      <c r="G474" s="2"/>
    </row>
    <row r="475" spans="1:7" x14ac:dyDescent="0.25">
      <c r="A475" s="2"/>
      <c r="B475" s="127"/>
      <c r="D475" s="3"/>
      <c r="E475" s="3"/>
      <c r="F475" s="44"/>
      <c r="G475" s="2"/>
    </row>
    <row r="476" spans="1:7" x14ac:dyDescent="0.25">
      <c r="A476" s="2"/>
      <c r="B476" s="127"/>
      <c r="D476" s="3"/>
      <c r="E476" s="3"/>
      <c r="F476" s="44"/>
      <c r="G476" s="2"/>
    </row>
    <row r="477" spans="1:7" x14ac:dyDescent="0.25">
      <c r="A477" s="2"/>
      <c r="B477" s="127"/>
      <c r="D477" s="3"/>
      <c r="E477" s="3"/>
      <c r="F477" s="44"/>
      <c r="G477" s="2"/>
    </row>
    <row r="478" spans="1:7" x14ac:dyDescent="0.25">
      <c r="A478" s="2"/>
      <c r="B478" s="127"/>
      <c r="D478" s="3"/>
      <c r="E478" s="3"/>
      <c r="F478" s="44"/>
      <c r="G478" s="2"/>
    </row>
    <row r="479" spans="1:7" x14ac:dyDescent="0.25">
      <c r="A479" s="2"/>
      <c r="B479" s="127"/>
      <c r="D479" s="3"/>
      <c r="E479" s="3"/>
      <c r="F479" s="44"/>
      <c r="G479" s="2"/>
    </row>
    <row r="480" spans="1:7" x14ac:dyDescent="0.25">
      <c r="A480" s="2"/>
      <c r="B480" s="127"/>
      <c r="D480" s="3"/>
      <c r="E480" s="3"/>
      <c r="F480" s="44"/>
      <c r="G480" s="2"/>
    </row>
    <row r="481" spans="1:7" x14ac:dyDescent="0.25">
      <c r="A481" s="2"/>
      <c r="B481" s="127"/>
      <c r="D481" s="3"/>
      <c r="E481" s="3"/>
      <c r="F481" s="44"/>
      <c r="G481" s="2"/>
    </row>
    <row r="482" spans="1:7" x14ac:dyDescent="0.25">
      <c r="A482" s="2"/>
      <c r="B482" s="127"/>
      <c r="D482" s="3"/>
      <c r="E482" s="3"/>
      <c r="F482" s="44"/>
      <c r="G482" s="2"/>
    </row>
    <row r="483" spans="1:7" x14ac:dyDescent="0.25">
      <c r="A483" s="2"/>
      <c r="B483" s="127"/>
      <c r="D483" s="3"/>
      <c r="E483" s="3"/>
      <c r="F483" s="44"/>
      <c r="G483" s="2"/>
    </row>
    <row r="484" spans="1:7" x14ac:dyDescent="0.25">
      <c r="A484" s="2"/>
      <c r="B484" s="127"/>
      <c r="D484" s="3"/>
      <c r="E484" s="3"/>
      <c r="F484" s="44"/>
      <c r="G484" s="2"/>
    </row>
    <row r="485" spans="1:7" x14ac:dyDescent="0.25">
      <c r="A485" s="2"/>
      <c r="B485" s="127"/>
      <c r="D485" s="3"/>
      <c r="E485" s="3"/>
      <c r="F485" s="44"/>
      <c r="G485" s="2"/>
    </row>
    <row r="486" spans="1:7" x14ac:dyDescent="0.25">
      <c r="A486" s="2"/>
      <c r="B486" s="127"/>
      <c r="D486" s="3"/>
      <c r="E486" s="3"/>
      <c r="F486" s="44"/>
      <c r="G486" s="2"/>
    </row>
    <row r="487" spans="1:7" x14ac:dyDescent="0.25">
      <c r="A487" s="2"/>
      <c r="B487" s="127"/>
      <c r="D487" s="3"/>
      <c r="E487" s="3"/>
      <c r="F487" s="44"/>
      <c r="G487" s="2"/>
    </row>
    <row r="488" spans="1:7" x14ac:dyDescent="0.25">
      <c r="A488" s="2"/>
      <c r="B488" s="127"/>
      <c r="D488" s="3"/>
      <c r="E488" s="3"/>
      <c r="F488" s="44"/>
      <c r="G488" s="2"/>
    </row>
    <row r="489" spans="1:7" x14ac:dyDescent="0.25">
      <c r="A489" s="2"/>
      <c r="B489" s="127"/>
      <c r="D489" s="3"/>
      <c r="E489" s="3"/>
      <c r="F489" s="44"/>
      <c r="G489" s="2"/>
    </row>
    <row r="490" spans="1:7" x14ac:dyDescent="0.25">
      <c r="A490" s="2"/>
      <c r="B490" s="127"/>
      <c r="D490" s="3"/>
      <c r="E490" s="3"/>
      <c r="F490" s="44"/>
      <c r="G490" s="2"/>
    </row>
    <row r="491" spans="1:7" x14ac:dyDescent="0.25">
      <c r="A491" s="2"/>
      <c r="B491" s="127"/>
      <c r="D491" s="3"/>
      <c r="E491" s="3"/>
      <c r="F491" s="44"/>
      <c r="G491" s="2"/>
    </row>
    <row r="492" spans="1:7" x14ac:dyDescent="0.25">
      <c r="A492" s="2"/>
      <c r="B492" s="127"/>
      <c r="D492" s="3"/>
      <c r="E492" s="3"/>
      <c r="F492" s="44"/>
      <c r="G492" s="2"/>
    </row>
    <row r="493" spans="1:7" x14ac:dyDescent="0.25">
      <c r="A493" s="2"/>
      <c r="B493" s="127"/>
      <c r="D493" s="3"/>
      <c r="E493" s="3"/>
      <c r="F493" s="44"/>
      <c r="G493" s="2"/>
    </row>
    <row r="494" spans="1:7" x14ac:dyDescent="0.25">
      <c r="A494" s="2"/>
      <c r="B494" s="127"/>
      <c r="D494" s="3"/>
      <c r="E494" s="3"/>
      <c r="F494" s="44"/>
      <c r="G494" s="2"/>
    </row>
    <row r="495" spans="1:7" x14ac:dyDescent="0.25">
      <c r="A495" s="2"/>
      <c r="B495" s="127"/>
      <c r="D495" s="3"/>
      <c r="E495" s="3"/>
      <c r="F495" s="44"/>
      <c r="G495" s="2"/>
    </row>
    <row r="496" spans="1:7" x14ac:dyDescent="0.25">
      <c r="A496" s="2"/>
      <c r="B496" s="127"/>
      <c r="D496" s="3"/>
      <c r="E496" s="3"/>
      <c r="F496" s="44"/>
      <c r="G496" s="2"/>
    </row>
    <row r="497" spans="1:7" x14ac:dyDescent="0.25">
      <c r="A497" s="2"/>
      <c r="B497" s="127"/>
      <c r="D497" s="3"/>
      <c r="E497" s="3"/>
      <c r="F497" s="44"/>
      <c r="G497" s="2"/>
    </row>
    <row r="498" spans="1:7" x14ac:dyDescent="0.25">
      <c r="A498" s="2"/>
      <c r="B498" s="127"/>
      <c r="D498" s="3"/>
      <c r="E498" s="3"/>
      <c r="F498" s="44"/>
      <c r="G498" s="2"/>
    </row>
    <row r="499" spans="1:7" x14ac:dyDescent="0.25">
      <c r="A499" s="2"/>
      <c r="B499" s="127"/>
      <c r="D499" s="3"/>
      <c r="E499" s="3"/>
      <c r="F499" s="44"/>
      <c r="G499" s="2"/>
    </row>
    <row r="500" spans="1:7" x14ac:dyDescent="0.25">
      <c r="A500" s="2"/>
      <c r="B500" s="127"/>
      <c r="D500" s="3"/>
      <c r="E500" s="3"/>
      <c r="F500" s="44"/>
      <c r="G500" s="2"/>
    </row>
    <row r="501" spans="1:7" x14ac:dyDescent="0.25">
      <c r="A501" s="2"/>
      <c r="B501" s="127"/>
      <c r="D501" s="3"/>
      <c r="E501" s="3"/>
      <c r="F501" s="44"/>
      <c r="G501" s="2"/>
    </row>
    <row r="502" spans="1:7" x14ac:dyDescent="0.25">
      <c r="A502" s="2"/>
      <c r="B502" s="127"/>
      <c r="D502" s="3"/>
      <c r="E502" s="3"/>
      <c r="F502" s="44"/>
      <c r="G502" s="2"/>
    </row>
    <row r="503" spans="1:7" x14ac:dyDescent="0.25">
      <c r="A503" s="2"/>
      <c r="B503" s="127"/>
      <c r="D503" s="3"/>
      <c r="E503" s="3"/>
      <c r="F503" s="44"/>
      <c r="G503" s="2"/>
    </row>
    <row r="504" spans="1:7" x14ac:dyDescent="0.25">
      <c r="A504" s="2"/>
      <c r="B504" s="127"/>
      <c r="D504" s="3"/>
      <c r="E504" s="3"/>
      <c r="F504" s="44"/>
      <c r="G504" s="2"/>
    </row>
    <row r="505" spans="1:7" x14ac:dyDescent="0.25">
      <c r="A505" s="2"/>
      <c r="B505" s="127"/>
      <c r="D505" s="3"/>
      <c r="E505" s="3"/>
      <c r="F505" s="44"/>
      <c r="G505" s="2"/>
    </row>
    <row r="506" spans="1:7" x14ac:dyDescent="0.25">
      <c r="A506" s="2"/>
      <c r="B506" s="127"/>
      <c r="D506" s="3"/>
      <c r="E506" s="3"/>
      <c r="F506" s="44"/>
      <c r="G506" s="2"/>
    </row>
    <row r="507" spans="1:7" x14ac:dyDescent="0.25">
      <c r="A507" s="2"/>
      <c r="B507" s="127"/>
      <c r="D507" s="3"/>
      <c r="E507" s="3"/>
      <c r="F507" s="44"/>
      <c r="G507" s="2"/>
    </row>
    <row r="508" spans="1:7" x14ac:dyDescent="0.25">
      <c r="A508" s="2"/>
      <c r="B508" s="127"/>
      <c r="D508" s="3"/>
      <c r="E508" s="3"/>
      <c r="F508" s="44"/>
      <c r="G508" s="2"/>
    </row>
    <row r="509" spans="1:7" x14ac:dyDescent="0.25">
      <c r="A509" s="2"/>
      <c r="B509" s="127"/>
      <c r="D509" s="3"/>
      <c r="E509" s="3"/>
      <c r="F509" s="44"/>
      <c r="G509" s="2"/>
    </row>
    <row r="510" spans="1:7" x14ac:dyDescent="0.25">
      <c r="A510" s="2"/>
      <c r="B510" s="127"/>
      <c r="D510" s="3"/>
      <c r="E510" s="3"/>
      <c r="F510" s="44"/>
      <c r="G510" s="2"/>
    </row>
    <row r="511" spans="1:7" x14ac:dyDescent="0.25">
      <c r="A511" s="2"/>
      <c r="B511" s="127"/>
      <c r="D511" s="3"/>
      <c r="E511" s="3"/>
      <c r="F511" s="44"/>
      <c r="G511" s="2"/>
    </row>
    <row r="512" spans="1:7" x14ac:dyDescent="0.25">
      <c r="A512" s="2"/>
      <c r="B512" s="127"/>
      <c r="D512" s="3"/>
      <c r="E512" s="3"/>
      <c r="F512" s="44"/>
      <c r="G512" s="2"/>
    </row>
    <row r="513" spans="1:7" x14ac:dyDescent="0.25">
      <c r="A513" s="2"/>
      <c r="B513" s="127"/>
      <c r="D513" s="3"/>
      <c r="E513" s="3"/>
      <c r="F513" s="44"/>
      <c r="G513" s="2"/>
    </row>
    <row r="514" spans="1:7" x14ac:dyDescent="0.25">
      <c r="A514" s="2"/>
      <c r="B514" s="127"/>
      <c r="D514" s="3"/>
      <c r="E514" s="3"/>
      <c r="F514" s="44"/>
      <c r="G514" s="2"/>
    </row>
    <row r="515" spans="1:7" x14ac:dyDescent="0.25">
      <c r="A515" s="2"/>
      <c r="B515" s="127"/>
      <c r="D515" s="3"/>
      <c r="E515" s="3"/>
      <c r="F515" s="44"/>
      <c r="G515" s="2"/>
    </row>
    <row r="516" spans="1:7" x14ac:dyDescent="0.25">
      <c r="A516" s="2"/>
      <c r="B516" s="127"/>
      <c r="D516" s="3"/>
      <c r="E516" s="3"/>
      <c r="F516" s="44"/>
      <c r="G516" s="2"/>
    </row>
    <row r="517" spans="1:7" x14ac:dyDescent="0.25">
      <c r="A517" s="2"/>
      <c r="B517" s="127"/>
      <c r="D517" s="3"/>
      <c r="E517" s="3"/>
      <c r="F517" s="44"/>
      <c r="G517" s="2"/>
    </row>
    <row r="518" spans="1:7" x14ac:dyDescent="0.25">
      <c r="A518" s="2"/>
      <c r="B518" s="127"/>
      <c r="D518" s="3"/>
      <c r="E518" s="3"/>
      <c r="F518" s="44"/>
      <c r="G518" s="2"/>
    </row>
    <row r="519" spans="1:7" x14ac:dyDescent="0.25">
      <c r="A519" s="2"/>
      <c r="B519" s="127"/>
      <c r="D519" s="3"/>
      <c r="E519" s="3"/>
      <c r="F519" s="44"/>
      <c r="G519" s="2"/>
    </row>
    <row r="520" spans="1:7" x14ac:dyDescent="0.25">
      <c r="A520" s="2"/>
      <c r="B520" s="127"/>
      <c r="D520" s="3"/>
      <c r="E520" s="3"/>
      <c r="F520" s="44"/>
      <c r="G520" s="2"/>
    </row>
    <row r="521" spans="1:7" x14ac:dyDescent="0.25">
      <c r="A521" s="2"/>
      <c r="B521" s="127"/>
      <c r="D521" s="3"/>
      <c r="E521" s="3"/>
      <c r="F521" s="44"/>
      <c r="G521" s="2"/>
    </row>
    <row r="522" spans="1:7" x14ac:dyDescent="0.25">
      <c r="A522" s="2"/>
      <c r="B522" s="127"/>
      <c r="D522" s="3"/>
      <c r="E522" s="3"/>
      <c r="F522" s="44"/>
      <c r="G522" s="2"/>
    </row>
    <row r="523" spans="1:7" x14ac:dyDescent="0.25">
      <c r="A523" s="2"/>
      <c r="B523" s="127"/>
      <c r="D523" s="3"/>
      <c r="E523" s="3"/>
      <c r="F523" s="44"/>
      <c r="G523" s="2"/>
    </row>
    <row r="524" spans="1:7" x14ac:dyDescent="0.25">
      <c r="A524" s="2"/>
      <c r="B524" s="127"/>
      <c r="D524" s="3"/>
      <c r="E524" s="3"/>
      <c r="F524" s="44"/>
      <c r="G524" s="2"/>
    </row>
    <row r="525" spans="1:7" x14ac:dyDescent="0.25">
      <c r="A525" s="2"/>
      <c r="B525" s="127"/>
      <c r="D525" s="3"/>
      <c r="E525" s="3"/>
      <c r="F525" s="44"/>
      <c r="G525" s="2"/>
    </row>
    <row r="526" spans="1:7" x14ac:dyDescent="0.25">
      <c r="A526" s="2"/>
      <c r="B526" s="127"/>
      <c r="D526" s="3"/>
      <c r="E526" s="3"/>
      <c r="F526" s="44"/>
      <c r="G526" s="2"/>
    </row>
    <row r="527" spans="1:7" x14ac:dyDescent="0.25">
      <c r="A527" s="2"/>
      <c r="B527" s="127"/>
      <c r="D527" s="3"/>
      <c r="E527" s="3"/>
      <c r="F527" s="44"/>
      <c r="G527" s="2"/>
    </row>
    <row r="528" spans="1:7" x14ac:dyDescent="0.25">
      <c r="A528" s="2"/>
      <c r="B528" s="127"/>
      <c r="D528" s="3"/>
      <c r="E528" s="3"/>
      <c r="F528" s="44"/>
      <c r="G528" s="2"/>
    </row>
    <row r="529" spans="1:7" x14ac:dyDescent="0.25">
      <c r="A529" s="2"/>
      <c r="B529" s="127"/>
      <c r="D529" s="3"/>
      <c r="E529" s="3"/>
      <c r="F529" s="44"/>
      <c r="G529" s="2"/>
    </row>
    <row r="530" spans="1:7" x14ac:dyDescent="0.25">
      <c r="A530" s="2"/>
      <c r="B530" s="127"/>
      <c r="D530" s="3"/>
      <c r="E530" s="3"/>
      <c r="F530" s="44"/>
      <c r="G530" s="2"/>
    </row>
    <row r="531" spans="1:7" x14ac:dyDescent="0.25">
      <c r="A531" s="2"/>
      <c r="B531" s="127"/>
      <c r="D531" s="3"/>
      <c r="E531" s="3"/>
      <c r="F531" s="44"/>
      <c r="G531" s="2"/>
    </row>
    <row r="532" spans="1:7" x14ac:dyDescent="0.25">
      <c r="A532" s="2"/>
      <c r="B532" s="127"/>
      <c r="D532" s="3"/>
      <c r="E532" s="3"/>
      <c r="F532" s="44"/>
      <c r="G532" s="2"/>
    </row>
    <row r="533" spans="1:7" x14ac:dyDescent="0.25">
      <c r="A533" s="2"/>
      <c r="B533" s="127"/>
      <c r="D533" s="3"/>
      <c r="E533" s="3"/>
      <c r="F533" s="44"/>
      <c r="G533" s="2"/>
    </row>
    <row r="534" spans="1:7" x14ac:dyDescent="0.25">
      <c r="A534" s="2"/>
      <c r="B534" s="127"/>
      <c r="D534" s="3"/>
      <c r="E534" s="3"/>
      <c r="F534" s="44"/>
      <c r="G534" s="2"/>
    </row>
    <row r="535" spans="1:7" x14ac:dyDescent="0.25">
      <c r="A535" s="2"/>
      <c r="B535" s="127"/>
      <c r="D535" s="3"/>
      <c r="E535" s="3"/>
      <c r="F535" s="44"/>
      <c r="G535" s="2"/>
    </row>
    <row r="536" spans="1:7" x14ac:dyDescent="0.25">
      <c r="A536" s="2"/>
      <c r="B536" s="127"/>
      <c r="D536" s="3"/>
      <c r="E536" s="3"/>
      <c r="F536" s="44"/>
      <c r="G536" s="2"/>
    </row>
    <row r="537" spans="1:7" x14ac:dyDescent="0.25">
      <c r="A537" s="2"/>
      <c r="B537" s="127"/>
      <c r="D537" s="3"/>
      <c r="E537" s="3"/>
      <c r="F537" s="44"/>
      <c r="G537" s="2"/>
    </row>
    <row r="538" spans="1:7" x14ac:dyDescent="0.25">
      <c r="A538" s="2"/>
      <c r="B538" s="127"/>
      <c r="D538" s="3"/>
      <c r="E538" s="3"/>
      <c r="F538" s="44"/>
      <c r="G538" s="2"/>
    </row>
    <row r="539" spans="1:7" x14ac:dyDescent="0.25">
      <c r="A539" s="2"/>
      <c r="B539" s="127"/>
      <c r="D539" s="3"/>
      <c r="E539" s="3"/>
      <c r="F539" s="44"/>
      <c r="G539" s="2"/>
    </row>
    <row r="540" spans="1:7" x14ac:dyDescent="0.25">
      <c r="A540" s="2"/>
      <c r="B540" s="127"/>
      <c r="D540" s="3"/>
      <c r="E540" s="3"/>
      <c r="F540" s="44"/>
      <c r="G540" s="2"/>
    </row>
    <row r="541" spans="1:7" x14ac:dyDescent="0.25">
      <c r="A541" s="2"/>
      <c r="B541" s="127"/>
      <c r="D541" s="3"/>
      <c r="E541" s="3"/>
      <c r="F541" s="44"/>
      <c r="G541" s="2"/>
    </row>
    <row r="542" spans="1:7" x14ac:dyDescent="0.25">
      <c r="A542" s="2"/>
      <c r="B542" s="127"/>
      <c r="D542" s="3"/>
      <c r="E542" s="3"/>
      <c r="F542" s="44"/>
      <c r="G542" s="2"/>
    </row>
    <row r="543" spans="1:7" x14ac:dyDescent="0.25">
      <c r="A543" s="1"/>
      <c r="B543" s="127"/>
      <c r="D543" s="3"/>
      <c r="E543" s="3"/>
      <c r="F543" s="44"/>
      <c r="G543" s="2"/>
    </row>
    <row r="544" spans="1:7" x14ac:dyDescent="0.25">
      <c r="A544" s="1"/>
      <c r="B544" s="127"/>
      <c r="D544" s="3"/>
      <c r="E544" s="3"/>
      <c r="F544" s="44"/>
      <c r="G544" s="2"/>
    </row>
    <row r="545" spans="1:7" x14ac:dyDescent="0.25">
      <c r="A545" s="1"/>
      <c r="B545" s="127"/>
      <c r="D545" s="3"/>
      <c r="E545" s="3"/>
      <c r="F545" s="44"/>
      <c r="G545" s="2"/>
    </row>
    <row r="546" spans="1:7" x14ac:dyDescent="0.25">
      <c r="A546" s="1"/>
      <c r="B546" s="127"/>
      <c r="D546" s="3"/>
      <c r="E546" s="3"/>
      <c r="F546" s="44"/>
      <c r="G546" s="2"/>
    </row>
    <row r="547" spans="1:7" x14ac:dyDescent="0.25">
      <c r="A547" s="1"/>
      <c r="B547" s="127"/>
      <c r="D547" s="3"/>
      <c r="E547" s="3"/>
      <c r="F547" s="44"/>
      <c r="G547" s="2"/>
    </row>
    <row r="548" spans="1:7" x14ac:dyDescent="0.25">
      <c r="A548" s="1"/>
      <c r="B548" s="127"/>
      <c r="D548" s="3"/>
      <c r="E548" s="3"/>
      <c r="F548" s="44"/>
      <c r="G548" s="2"/>
    </row>
    <row r="549" spans="1:7" x14ac:dyDescent="0.25">
      <c r="A549" s="1"/>
      <c r="B549" s="127"/>
      <c r="D549" s="3"/>
      <c r="E549" s="3"/>
      <c r="F549" s="44"/>
      <c r="G549" s="2"/>
    </row>
    <row r="550" spans="1:7" x14ac:dyDescent="0.25">
      <c r="A550" s="1"/>
      <c r="B550" s="127"/>
      <c r="D550" s="3"/>
      <c r="E550" s="3"/>
      <c r="F550" s="44"/>
      <c r="G550" s="2"/>
    </row>
    <row r="551" spans="1:7" x14ac:dyDescent="0.25">
      <c r="A551" s="1"/>
      <c r="B551" s="127"/>
      <c r="D551" s="3"/>
      <c r="E551" s="3"/>
      <c r="F551" s="44"/>
      <c r="G551" s="2"/>
    </row>
    <row r="552" spans="1:7" x14ac:dyDescent="0.25">
      <c r="A552" s="1"/>
      <c r="B552" s="127"/>
      <c r="D552" s="3"/>
      <c r="E552" s="3"/>
      <c r="F552" s="44"/>
      <c r="G552" s="2"/>
    </row>
    <row r="553" spans="1:7" x14ac:dyDescent="0.25">
      <c r="A553" s="1"/>
      <c r="B553" s="127"/>
      <c r="D553" s="3"/>
      <c r="E553" s="3"/>
      <c r="F553" s="44"/>
      <c r="G553" s="2"/>
    </row>
    <row r="554" spans="1:7" x14ac:dyDescent="0.25">
      <c r="A554" s="1"/>
      <c r="B554" s="127"/>
      <c r="D554" s="3"/>
      <c r="E554" s="3"/>
      <c r="F554" s="44"/>
      <c r="G554" s="2"/>
    </row>
    <row r="555" spans="1:7" x14ac:dyDescent="0.25">
      <c r="A555" s="1"/>
      <c r="B555" s="127"/>
      <c r="D555" s="3"/>
      <c r="E555" s="3"/>
      <c r="F555" s="44"/>
      <c r="G555" s="2"/>
    </row>
    <row r="556" spans="1:7" x14ac:dyDescent="0.25">
      <c r="A556" s="1"/>
      <c r="B556" s="127"/>
      <c r="D556" s="3"/>
      <c r="E556" s="3"/>
      <c r="F556" s="44"/>
      <c r="G556" s="2"/>
    </row>
    <row r="557" spans="1:7" x14ac:dyDescent="0.25">
      <c r="A557" s="1"/>
      <c r="B557" s="127"/>
      <c r="D557" s="3"/>
      <c r="E557" s="3"/>
      <c r="F557" s="44"/>
      <c r="G557" s="2"/>
    </row>
    <row r="558" spans="1:7" x14ac:dyDescent="0.25">
      <c r="A558" s="1"/>
      <c r="B558" s="127"/>
      <c r="D558" s="3"/>
      <c r="E558" s="3"/>
      <c r="F558" s="44"/>
      <c r="G558" s="2"/>
    </row>
    <row r="559" spans="1:7" x14ac:dyDescent="0.25">
      <c r="A559" s="1"/>
      <c r="B559" s="127"/>
      <c r="D559" s="3"/>
      <c r="E559" s="3"/>
      <c r="F559" s="44"/>
      <c r="G559" s="2"/>
    </row>
    <row r="560" spans="1:7" x14ac:dyDescent="0.25">
      <c r="A560" s="1"/>
      <c r="B560" s="127"/>
      <c r="D560" s="3"/>
      <c r="E560" s="3"/>
      <c r="F560" s="44"/>
      <c r="G560" s="2"/>
    </row>
    <row r="561" spans="1:7" x14ac:dyDescent="0.25">
      <c r="A561" s="1"/>
      <c r="B561" s="127"/>
      <c r="D561" s="3"/>
      <c r="E561" s="3"/>
      <c r="F561" s="44"/>
      <c r="G561" s="2"/>
    </row>
    <row r="562" spans="1:7" x14ac:dyDescent="0.25">
      <c r="A562" s="1"/>
      <c r="B562" s="127"/>
      <c r="D562" s="3"/>
      <c r="E562" s="3"/>
      <c r="F562" s="44"/>
      <c r="G562" s="2"/>
    </row>
    <row r="563" spans="1:7" x14ac:dyDescent="0.25">
      <c r="A563" s="1"/>
      <c r="B563" s="127"/>
      <c r="D563" s="3"/>
      <c r="E563" s="3"/>
      <c r="F563" s="44"/>
      <c r="G563" s="2"/>
    </row>
    <row r="564" spans="1:7" x14ac:dyDescent="0.25">
      <c r="A564" s="1"/>
      <c r="B564" s="127"/>
      <c r="D564" s="3"/>
      <c r="E564" s="3"/>
      <c r="F564" s="44"/>
      <c r="G564" s="2"/>
    </row>
    <row r="565" spans="1:7" x14ac:dyDescent="0.25">
      <c r="A565" s="1"/>
      <c r="B565" s="127"/>
      <c r="D565" s="3"/>
      <c r="E565" s="3"/>
      <c r="F565" s="44"/>
      <c r="G565" s="2"/>
    </row>
    <row r="566" spans="1:7" x14ac:dyDescent="0.25">
      <c r="A566" s="1"/>
      <c r="B566" s="127"/>
      <c r="D566" s="3"/>
      <c r="E566" s="3"/>
      <c r="F566" s="44"/>
      <c r="G566" s="2"/>
    </row>
    <row r="567" spans="1:7" x14ac:dyDescent="0.25">
      <c r="A567" s="1"/>
      <c r="B567" s="127"/>
      <c r="D567" s="3"/>
      <c r="E567" s="3"/>
      <c r="F567" s="44"/>
      <c r="G567" s="2"/>
    </row>
    <row r="568" spans="1:7" x14ac:dyDescent="0.25">
      <c r="A568" s="1"/>
      <c r="B568" s="127"/>
      <c r="D568" s="3"/>
      <c r="E568" s="3"/>
    </row>
    <row r="569" spans="1:7" x14ac:dyDescent="0.25">
      <c r="A569" s="1"/>
      <c r="B569" s="127"/>
      <c r="D569" s="3"/>
      <c r="E569" s="3"/>
    </row>
    <row r="570" spans="1:7" x14ac:dyDescent="0.25">
      <c r="A570" s="1"/>
      <c r="B570" s="127"/>
      <c r="D570" s="3"/>
      <c r="E570" s="3"/>
    </row>
    <row r="571" spans="1:7" x14ac:dyDescent="0.25">
      <c r="A571" s="1"/>
      <c r="B571" s="127"/>
      <c r="D571" s="3"/>
      <c r="E571" s="3"/>
    </row>
    <row r="572" spans="1:7" x14ac:dyDescent="0.25">
      <c r="A572" s="1"/>
      <c r="B572" s="127"/>
      <c r="D572" s="3"/>
      <c r="E572" s="3"/>
    </row>
    <row r="573" spans="1:7" x14ac:dyDescent="0.25">
      <c r="A573" s="1"/>
      <c r="B573" s="127"/>
      <c r="D573" s="3"/>
      <c r="E573" s="3"/>
    </row>
    <row r="574" spans="1:7" x14ac:dyDescent="0.25">
      <c r="A574" s="1"/>
      <c r="B574" s="127"/>
      <c r="D574" s="3"/>
      <c r="E574" s="3"/>
    </row>
    <row r="575" spans="1:7" x14ac:dyDescent="0.25">
      <c r="A575" s="1"/>
      <c r="B575" s="127"/>
      <c r="D575" s="3"/>
      <c r="E575" s="3"/>
    </row>
    <row r="576" spans="1:7" x14ac:dyDescent="0.25">
      <c r="A576" s="1"/>
      <c r="B576" s="127"/>
      <c r="D576" s="3"/>
      <c r="E576" s="3"/>
    </row>
    <row r="577" spans="1:5" x14ac:dyDescent="0.25">
      <c r="A577" s="1"/>
      <c r="B577" s="127"/>
      <c r="D577" s="3"/>
      <c r="E577" s="3"/>
    </row>
    <row r="578" spans="1:5" x14ac:dyDescent="0.25">
      <c r="A578" s="1"/>
      <c r="B578" s="127"/>
      <c r="D578" s="3"/>
      <c r="E578" s="3"/>
    </row>
    <row r="579" spans="1:5" x14ac:dyDescent="0.25">
      <c r="A579" s="1"/>
      <c r="B579" s="127"/>
      <c r="D579" s="3"/>
      <c r="E579" s="3"/>
    </row>
    <row r="580" spans="1:5" x14ac:dyDescent="0.25">
      <c r="A580" s="1"/>
      <c r="B580" s="127"/>
      <c r="D580" s="3"/>
      <c r="E580" s="3"/>
    </row>
    <row r="581" spans="1:5" x14ac:dyDescent="0.25">
      <c r="A581" s="1"/>
      <c r="B581" s="127"/>
      <c r="D581" s="3"/>
      <c r="E581" s="3"/>
    </row>
    <row r="582" spans="1:5" x14ac:dyDescent="0.25">
      <c r="A582" s="1"/>
      <c r="B582" s="127"/>
      <c r="D582" s="3"/>
      <c r="E582" s="3"/>
    </row>
    <row r="583" spans="1:5" x14ac:dyDescent="0.25">
      <c r="A583" s="1"/>
      <c r="B583" s="127"/>
      <c r="D583" s="3"/>
      <c r="E583" s="3"/>
    </row>
    <row r="584" spans="1:5" x14ac:dyDescent="0.25">
      <c r="A584" s="1"/>
      <c r="B584" s="127"/>
      <c r="D584" s="3"/>
      <c r="E584" s="3"/>
    </row>
    <row r="585" spans="1:5" x14ac:dyDescent="0.25">
      <c r="A585" s="1"/>
      <c r="B585" s="127"/>
      <c r="D585" s="3"/>
      <c r="E585" s="3"/>
    </row>
    <row r="586" spans="1:5" x14ac:dyDescent="0.25">
      <c r="A586" s="1"/>
      <c r="B586" s="127"/>
      <c r="D586" s="3"/>
      <c r="E586" s="3"/>
    </row>
    <row r="587" spans="1:5" x14ac:dyDescent="0.25">
      <c r="A587" s="1"/>
      <c r="B587" s="127"/>
      <c r="D587" s="3"/>
      <c r="E587" s="3"/>
    </row>
    <row r="588" spans="1:5" x14ac:dyDescent="0.25">
      <c r="A588" s="1"/>
      <c r="B588" s="127"/>
      <c r="D588" s="3"/>
      <c r="E588" s="3"/>
    </row>
    <row r="589" spans="1:5" x14ac:dyDescent="0.25">
      <c r="A589" s="1"/>
      <c r="B589" s="127"/>
      <c r="D589" s="3"/>
      <c r="E589" s="3"/>
    </row>
    <row r="590" spans="1:5" x14ac:dyDescent="0.25">
      <c r="A590" s="1"/>
      <c r="B590" s="127"/>
      <c r="D590" s="3"/>
      <c r="E590" s="3"/>
    </row>
    <row r="591" spans="1:5" x14ac:dyDescent="0.25">
      <c r="A591" s="1"/>
      <c r="B591" s="127"/>
      <c r="D591" s="3"/>
      <c r="E591" s="3"/>
    </row>
    <row r="592" spans="1:5" x14ac:dyDescent="0.25">
      <c r="A592" s="1"/>
      <c r="B592" s="127"/>
      <c r="D592" s="3"/>
      <c r="E592" s="3"/>
    </row>
    <row r="593" spans="1:5" x14ac:dyDescent="0.25">
      <c r="A593" s="1"/>
      <c r="B593" s="127"/>
      <c r="D593" s="3"/>
      <c r="E593" s="3"/>
    </row>
    <row r="594" spans="1:5" x14ac:dyDescent="0.25">
      <c r="A594" s="1"/>
      <c r="B594" s="127"/>
      <c r="D594" s="3"/>
      <c r="E594" s="3"/>
    </row>
    <row r="595" spans="1:5" x14ac:dyDescent="0.25">
      <c r="A595" s="1"/>
      <c r="B595" s="127"/>
      <c r="D595" s="3"/>
      <c r="E595" s="3"/>
    </row>
    <row r="596" spans="1:5" x14ac:dyDescent="0.25">
      <c r="A596" s="1"/>
      <c r="B596" s="127"/>
      <c r="D596" s="3"/>
      <c r="E596" s="3"/>
    </row>
    <row r="597" spans="1:5" x14ac:dyDescent="0.25">
      <c r="A597" s="1"/>
      <c r="B597" s="127"/>
      <c r="D597" s="3"/>
      <c r="E597" s="3"/>
    </row>
    <row r="598" spans="1:5" x14ac:dyDescent="0.25">
      <c r="A598" s="1"/>
      <c r="B598" s="127"/>
      <c r="D598" s="3"/>
      <c r="E598" s="3"/>
    </row>
    <row r="599" spans="1:5" x14ac:dyDescent="0.25">
      <c r="A599" s="1"/>
      <c r="B599" s="127"/>
      <c r="D599" s="3"/>
      <c r="E599" s="3"/>
    </row>
    <row r="600" spans="1:5" x14ac:dyDescent="0.25">
      <c r="A600" s="1"/>
      <c r="B600" s="127"/>
      <c r="D600" s="3"/>
      <c r="E600" s="3"/>
    </row>
    <row r="601" spans="1:5" x14ac:dyDescent="0.25">
      <c r="A601" s="1"/>
      <c r="B601" s="127"/>
      <c r="D601" s="3"/>
      <c r="E601" s="3"/>
    </row>
    <row r="602" spans="1:5" x14ac:dyDescent="0.25">
      <c r="A602" s="1"/>
      <c r="B602" s="127"/>
      <c r="D602" s="3"/>
      <c r="E602" s="3"/>
    </row>
    <row r="603" spans="1:5" x14ac:dyDescent="0.25">
      <c r="A603" s="1"/>
      <c r="B603" s="127"/>
      <c r="D603" s="3"/>
      <c r="E603" s="3"/>
    </row>
    <row r="604" spans="1:5" x14ac:dyDescent="0.25">
      <c r="A604" s="1"/>
      <c r="B604" s="127"/>
      <c r="D604" s="3"/>
      <c r="E604" s="3"/>
    </row>
    <row r="605" spans="1:5" x14ac:dyDescent="0.25">
      <c r="A605" s="1"/>
      <c r="B605" s="127"/>
      <c r="D605" s="3"/>
      <c r="E605" s="3"/>
    </row>
    <row r="606" spans="1:5" x14ac:dyDescent="0.25">
      <c r="A606" s="1"/>
      <c r="B606" s="127"/>
      <c r="D606" s="3"/>
      <c r="E606" s="3"/>
    </row>
    <row r="607" spans="1:5" x14ac:dyDescent="0.25">
      <c r="A607" s="1"/>
      <c r="B607" s="127"/>
      <c r="D607" s="3"/>
      <c r="E607" s="3"/>
    </row>
    <row r="608" spans="1:5" x14ac:dyDescent="0.25">
      <c r="A608" s="1"/>
      <c r="B608" s="127"/>
      <c r="D608" s="3"/>
      <c r="E608" s="3"/>
    </row>
    <row r="609" spans="1:5" x14ac:dyDescent="0.25">
      <c r="A609" s="1"/>
      <c r="B609" s="127"/>
      <c r="D609" s="3"/>
      <c r="E609" s="3"/>
    </row>
    <row r="610" spans="1:5" x14ac:dyDescent="0.25">
      <c r="A610" s="1"/>
      <c r="B610" s="127"/>
      <c r="D610" s="3"/>
      <c r="E610" s="3"/>
    </row>
    <row r="611" spans="1:5" x14ac:dyDescent="0.25">
      <c r="A611" s="1"/>
      <c r="B611" s="127"/>
      <c r="D611" s="3"/>
      <c r="E611" s="3"/>
    </row>
    <row r="612" spans="1:5" x14ac:dyDescent="0.25">
      <c r="A612" s="1"/>
      <c r="B612" s="127"/>
      <c r="D612" s="3"/>
      <c r="E612" s="3"/>
    </row>
    <row r="613" spans="1:5" x14ac:dyDescent="0.25">
      <c r="A613" s="1"/>
      <c r="B613" s="127"/>
      <c r="D613" s="3"/>
      <c r="E613" s="3"/>
    </row>
    <row r="614" spans="1:5" x14ac:dyDescent="0.25">
      <c r="A614" s="1"/>
      <c r="B614" s="127"/>
      <c r="D614" s="3"/>
      <c r="E614" s="3"/>
    </row>
    <row r="615" spans="1:5" x14ac:dyDescent="0.25">
      <c r="A615" s="1"/>
      <c r="B615" s="127"/>
      <c r="D615" s="3"/>
      <c r="E615" s="3"/>
    </row>
    <row r="616" spans="1:5" x14ac:dyDescent="0.25">
      <c r="A616" s="1"/>
      <c r="B616" s="127"/>
      <c r="D616" s="3"/>
      <c r="E616" s="3"/>
    </row>
    <row r="617" spans="1:5" x14ac:dyDescent="0.25">
      <c r="A617" s="1"/>
      <c r="B617" s="127"/>
      <c r="D617" s="3"/>
      <c r="E617" s="3"/>
    </row>
    <row r="618" spans="1:5" x14ac:dyDescent="0.25">
      <c r="A618" s="1"/>
      <c r="B618" s="127"/>
      <c r="D618" s="3"/>
      <c r="E618" s="3"/>
    </row>
    <row r="619" spans="1:5" x14ac:dyDescent="0.25">
      <c r="A619" s="1"/>
      <c r="B619" s="127"/>
      <c r="D619" s="3"/>
      <c r="E619" s="3"/>
    </row>
    <row r="620" spans="1:5" x14ac:dyDescent="0.25">
      <c r="A620" s="1"/>
      <c r="B620" s="127"/>
      <c r="D620" s="3"/>
      <c r="E620" s="3"/>
    </row>
    <row r="621" spans="1:5" x14ac:dyDescent="0.25">
      <c r="A621" s="1"/>
      <c r="B621" s="127"/>
      <c r="D621" s="3"/>
      <c r="E621" s="3"/>
    </row>
    <row r="622" spans="1:5" x14ac:dyDescent="0.25">
      <c r="A622" s="1"/>
      <c r="B622" s="127"/>
      <c r="D622" s="3"/>
      <c r="E622" s="3"/>
    </row>
    <row r="623" spans="1:5" x14ac:dyDescent="0.25">
      <c r="A623" s="1"/>
      <c r="B623" s="127"/>
      <c r="D623" s="3"/>
      <c r="E623" s="3"/>
    </row>
    <row r="624" spans="1:5" x14ac:dyDescent="0.25">
      <c r="A624" s="1"/>
      <c r="B624" s="127"/>
      <c r="D624" s="3"/>
      <c r="E624" s="3"/>
    </row>
    <row r="625" spans="1:5" x14ac:dyDescent="0.25">
      <c r="A625" s="1"/>
      <c r="B625" s="127"/>
      <c r="D625" s="3"/>
      <c r="E625" s="3"/>
    </row>
    <row r="626" spans="1:5" x14ac:dyDescent="0.25">
      <c r="A626" s="1"/>
      <c r="B626" s="127"/>
      <c r="D626" s="3"/>
      <c r="E626" s="3"/>
    </row>
    <row r="627" spans="1:5" x14ac:dyDescent="0.25">
      <c r="A627" s="1"/>
      <c r="B627" s="127"/>
      <c r="D627" s="3"/>
      <c r="E627" s="3"/>
    </row>
    <row r="628" spans="1:5" x14ac:dyDescent="0.25">
      <c r="A628" s="1"/>
      <c r="B628" s="127"/>
      <c r="D628" s="3"/>
      <c r="E628" s="3"/>
    </row>
    <row r="629" spans="1:5" x14ac:dyDescent="0.25">
      <c r="A629" s="1"/>
      <c r="B629" s="127"/>
      <c r="D629" s="3"/>
      <c r="E629" s="3"/>
    </row>
    <row r="630" spans="1:5" x14ac:dyDescent="0.25">
      <c r="A630" s="1"/>
      <c r="B630" s="127"/>
      <c r="D630" s="3"/>
      <c r="E630" s="3"/>
    </row>
    <row r="631" spans="1:5" x14ac:dyDescent="0.25">
      <c r="A631" s="1"/>
      <c r="B631" s="127"/>
      <c r="D631" s="3"/>
      <c r="E631" s="3"/>
    </row>
    <row r="632" spans="1:5" x14ac:dyDescent="0.25">
      <c r="A632" s="1"/>
      <c r="B632" s="127"/>
      <c r="D632" s="3"/>
      <c r="E632" s="3"/>
    </row>
    <row r="633" spans="1:5" x14ac:dyDescent="0.25">
      <c r="A633" s="1"/>
      <c r="B633" s="127"/>
      <c r="D633" s="3"/>
      <c r="E633" s="3"/>
    </row>
    <row r="634" spans="1:5" x14ac:dyDescent="0.25">
      <c r="A634" s="1"/>
      <c r="B634" s="127"/>
      <c r="D634" s="3"/>
      <c r="E634" s="3"/>
    </row>
    <row r="635" spans="1:5" x14ac:dyDescent="0.25">
      <c r="A635" s="1"/>
      <c r="B635" s="127"/>
      <c r="D635" s="3"/>
      <c r="E635" s="3"/>
    </row>
    <row r="636" spans="1:5" x14ac:dyDescent="0.25">
      <c r="A636" s="1"/>
      <c r="B636" s="127"/>
      <c r="D636" s="3"/>
      <c r="E636" s="3"/>
    </row>
    <row r="637" spans="1:5" x14ac:dyDescent="0.25">
      <c r="A637" s="1"/>
      <c r="B637" s="127"/>
      <c r="D637" s="3"/>
      <c r="E637" s="3"/>
    </row>
    <row r="638" spans="1:5" x14ac:dyDescent="0.25">
      <c r="A638" s="1"/>
      <c r="B638" s="127"/>
      <c r="D638" s="3"/>
      <c r="E638" s="3"/>
    </row>
    <row r="639" spans="1:5" x14ac:dyDescent="0.25">
      <c r="A639" s="1"/>
      <c r="B639" s="127"/>
      <c r="D639" s="3"/>
      <c r="E639" s="3"/>
    </row>
    <row r="640" spans="1:5" x14ac:dyDescent="0.25">
      <c r="A640" s="1"/>
      <c r="B640" s="127"/>
      <c r="D640" s="3"/>
      <c r="E640" s="3"/>
    </row>
    <row r="641" spans="1:5" x14ac:dyDescent="0.25">
      <c r="A641" s="1"/>
      <c r="B641" s="127"/>
      <c r="D641" s="3"/>
      <c r="E641" s="3"/>
    </row>
    <row r="642" spans="1:5" x14ac:dyDescent="0.25">
      <c r="A642" s="1"/>
      <c r="B642" s="127"/>
      <c r="D642" s="3"/>
      <c r="E642" s="3"/>
    </row>
    <row r="643" spans="1:5" x14ac:dyDescent="0.25">
      <c r="A643" s="1"/>
      <c r="B643" s="127"/>
      <c r="D643" s="3"/>
      <c r="E643" s="3"/>
    </row>
    <row r="644" spans="1:5" x14ac:dyDescent="0.25">
      <c r="A644" s="1"/>
      <c r="B644" s="127"/>
      <c r="D644" s="3"/>
      <c r="E644" s="3"/>
    </row>
    <row r="645" spans="1:5" x14ac:dyDescent="0.25">
      <c r="A645" s="1"/>
      <c r="B645" s="127"/>
      <c r="D645" s="3"/>
      <c r="E645" s="3"/>
    </row>
    <row r="646" spans="1:5" x14ac:dyDescent="0.25">
      <c r="A646" s="1"/>
      <c r="B646" s="127"/>
      <c r="D646" s="3"/>
      <c r="E646" s="3"/>
    </row>
    <row r="647" spans="1:5" x14ac:dyDescent="0.25">
      <c r="A647" s="1"/>
      <c r="B647" s="127"/>
      <c r="D647" s="3"/>
      <c r="E647" s="3"/>
    </row>
    <row r="648" spans="1:5" x14ac:dyDescent="0.25">
      <c r="A648" s="1"/>
      <c r="B648" s="127"/>
      <c r="D648" s="3"/>
      <c r="E648" s="3"/>
    </row>
    <row r="649" spans="1:5" x14ac:dyDescent="0.25">
      <c r="A649" s="1"/>
      <c r="B649" s="127"/>
      <c r="D649" s="3"/>
      <c r="E649" s="3"/>
    </row>
    <row r="650" spans="1:5" x14ac:dyDescent="0.25">
      <c r="A650" s="1"/>
      <c r="B650" s="127"/>
      <c r="D650" s="3"/>
      <c r="E650" s="3"/>
    </row>
    <row r="651" spans="1:5" x14ac:dyDescent="0.25">
      <c r="A651" s="1"/>
      <c r="B651" s="127"/>
      <c r="D651" s="3"/>
      <c r="E651" s="2"/>
    </row>
    <row r="652" spans="1:5" x14ac:dyDescent="0.25">
      <c r="A652" s="1"/>
      <c r="B652" s="127"/>
      <c r="D652" s="3"/>
      <c r="E652" s="2"/>
    </row>
    <row r="653" spans="1:5" x14ac:dyDescent="0.25">
      <c r="A653" s="1"/>
      <c r="B653" s="127"/>
      <c r="D653" s="3"/>
      <c r="E653" s="2"/>
    </row>
    <row r="654" spans="1:5" x14ac:dyDescent="0.25">
      <c r="A654" s="1"/>
      <c r="B654" s="127"/>
      <c r="D654" s="3"/>
      <c r="E654" s="2"/>
    </row>
    <row r="655" spans="1:5" x14ac:dyDescent="0.25">
      <c r="A655" s="1"/>
      <c r="B655" s="127"/>
      <c r="D655" s="3"/>
      <c r="E655" s="2"/>
    </row>
    <row r="656" spans="1:5" x14ac:dyDescent="0.25">
      <c r="A656" s="1"/>
      <c r="B656" s="127"/>
      <c r="D656" s="3"/>
      <c r="E656" s="2"/>
    </row>
    <row r="657" spans="1:5" x14ac:dyDescent="0.25">
      <c r="A657" s="1"/>
      <c r="B657" s="127"/>
      <c r="D657" s="3"/>
      <c r="E657" s="2"/>
    </row>
    <row r="658" spans="1:5" x14ac:dyDescent="0.25">
      <c r="A658" s="1"/>
      <c r="B658" s="127"/>
      <c r="D658" s="3"/>
      <c r="E658" s="2"/>
    </row>
    <row r="659" spans="1:5" x14ac:dyDescent="0.25">
      <c r="A659" s="1"/>
      <c r="B659" s="127"/>
      <c r="D659" s="3"/>
      <c r="E659" s="2"/>
    </row>
    <row r="660" spans="1:5" x14ac:dyDescent="0.25">
      <c r="A660" s="1"/>
      <c r="B660" s="127"/>
      <c r="D660" s="3"/>
      <c r="E660" s="2"/>
    </row>
    <row r="661" spans="1:5" x14ac:dyDescent="0.25">
      <c r="A661" s="1"/>
      <c r="B661" s="127"/>
      <c r="D661" s="3"/>
      <c r="E661" s="2"/>
    </row>
    <row r="662" spans="1:5" x14ac:dyDescent="0.25">
      <c r="A662" s="1"/>
      <c r="B662" s="127"/>
      <c r="D662" s="3"/>
      <c r="E662" s="2"/>
    </row>
  </sheetData>
  <autoFilter ref="A25:IV409"/>
  <mergeCells count="31">
    <mergeCell ref="B19:B21"/>
    <mergeCell ref="L20:M20"/>
    <mergeCell ref="D19:M19"/>
    <mergeCell ref="A23:A24"/>
    <mergeCell ref="N19:N21"/>
    <mergeCell ref="K20:K21"/>
    <mergeCell ref="A19:A21"/>
    <mergeCell ref="F20:G20"/>
    <mergeCell ref="H20:H21"/>
    <mergeCell ref="I20:J20"/>
    <mergeCell ref="X109:X114"/>
    <mergeCell ref="R23:S23"/>
    <mergeCell ref="T23:U23"/>
    <mergeCell ref="V23:W23"/>
    <mergeCell ref="X23:X24"/>
    <mergeCell ref="W96:W97"/>
    <mergeCell ref="K109:K114"/>
    <mergeCell ref="W109:W114"/>
    <mergeCell ref="K96:K97"/>
    <mergeCell ref="S96:S97"/>
    <mergeCell ref="C19:C21"/>
    <mergeCell ref="D23:D24"/>
    <mergeCell ref="O19:O20"/>
    <mergeCell ref="D20:D21"/>
    <mergeCell ref="E20:E21"/>
    <mergeCell ref="A7:D7"/>
    <mergeCell ref="J1:L1"/>
    <mergeCell ref="J2:L2"/>
    <mergeCell ref="J3:L3"/>
    <mergeCell ref="J4:L4"/>
    <mergeCell ref="A6:D6"/>
  </mergeCells>
  <phoneticPr fontId="17" type="noConversion"/>
  <pageMargins left="0.39370078740157483" right="0.19685039370078741" top="0.39370078740157483" bottom="0.39370078740157483" header="0.51181102362204722" footer="0.51181102362204722"/>
  <pageSetup paperSize="9" scale="43" orientation="landscape" r:id="rId1"/>
  <headerFooter alignWithMargins="0"/>
  <colBreaks count="1" manualBreakCount="1">
    <brk id="15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План на 2012 изм (3)</vt:lpstr>
      <vt:lpstr>План на 2012 изм (2)</vt:lpstr>
      <vt:lpstr>План на 2012 изм</vt:lpstr>
      <vt:lpstr>План (2)</vt:lpstr>
      <vt:lpstr>План</vt:lpstr>
      <vt:lpstr>План (3)</vt:lpstr>
      <vt:lpstr>'План на 2012 изм'!Заголовки_для_печати</vt:lpstr>
      <vt:lpstr>'План на 2012 изм (2)'!Заголовки_для_печати</vt:lpstr>
      <vt:lpstr>'План на 2012 изм (3)'!Заголовки_для_печати</vt:lpstr>
      <vt:lpstr>'План на 2012 изм'!Область_печати</vt:lpstr>
      <vt:lpstr>'План на 2012 изм (2)'!Область_печати</vt:lpstr>
      <vt:lpstr>'План на 2012 изм (3)'!Область_печати</vt:lpstr>
    </vt:vector>
  </TitlesOfParts>
  <Company>RePack by SPecialiST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Supervisor</dc:creator>
  <cp:lastModifiedBy>Герман Евгения Александровна</cp:lastModifiedBy>
  <cp:lastPrinted>2017-09-12T04:57:48Z</cp:lastPrinted>
  <dcterms:created xsi:type="dcterms:W3CDTF">2012-09-27T12:55:51Z</dcterms:created>
  <dcterms:modified xsi:type="dcterms:W3CDTF">2017-09-12T05:04:35Z</dcterms:modified>
</cp:coreProperties>
</file>